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HA5138\AppData\Local\Temp\183\"/>
    </mc:Choice>
  </mc:AlternateContent>
  <bookViews>
    <workbookView xWindow="0" yWindow="0" windowWidth="28800" windowHeight="12300" activeTab="5"/>
  </bookViews>
  <sheets>
    <sheet name="Свод" sheetId="10" r:id="rId1"/>
    <sheet name="Предпроект " sheetId="7" r:id="rId2"/>
    <sheet name="Геодезия" sheetId="11" r:id="rId3"/>
    <sheet name="Геология" sheetId="12" r:id="rId4"/>
    <sheet name="Экология" sheetId="14" r:id="rId5"/>
    <sheet name="Проект" sheetId="9" r:id="rId6"/>
  </sheets>
  <definedNames>
    <definedName name="_xlnm.Print_Area" localSheetId="2">Геодезия!$A$1:$F$22</definedName>
    <definedName name="_xlnm.Print_Area" localSheetId="3">Геология!$B$1:$F$46</definedName>
    <definedName name="_xlnm.Print_Area" localSheetId="1">'Предпроект '!$A$1:$F$27</definedName>
    <definedName name="_xlnm.Print_Area" localSheetId="5">Проект!$B$1:$F$38</definedName>
    <definedName name="_xlnm.Print_Area" localSheetId="0">Свод!$A$1:$H$24</definedName>
  </definedNames>
  <calcPr calcId="152511" calcMode="manual"/>
</workbook>
</file>

<file path=xl/calcChain.xml><?xml version="1.0" encoding="utf-8"?>
<calcChain xmlns="http://schemas.openxmlformats.org/spreadsheetml/2006/main">
  <c r="G15" i="10" l="1"/>
  <c r="H15" i="10" s="1"/>
  <c r="G11" i="10" l="1"/>
  <c r="G13" i="10"/>
  <c r="F14" i="10"/>
  <c r="G14" i="10" s="1"/>
  <c r="F13" i="10"/>
  <c r="F12" i="10"/>
  <c r="F11" i="10"/>
  <c r="F10" i="10"/>
  <c r="G10" i="10" s="1"/>
  <c r="A3" i="14"/>
  <c r="H98" i="14"/>
  <c r="H97" i="14"/>
  <c r="H95" i="14"/>
  <c r="H94" i="14"/>
  <c r="H93" i="14"/>
  <c r="H92" i="14"/>
  <c r="H91" i="14"/>
  <c r="H88" i="14"/>
  <c r="H89" i="14" s="1"/>
  <c r="G99" i="14" s="1"/>
  <c r="H99" i="14" s="1"/>
  <c r="H64" i="14"/>
  <c r="H63" i="14"/>
  <c r="H62" i="14"/>
  <c r="H61" i="14"/>
  <c r="H60" i="14"/>
  <c r="H59" i="14"/>
  <c r="H58" i="14"/>
  <c r="H57" i="14"/>
  <c r="H56" i="14"/>
  <c r="H55" i="14"/>
  <c r="H54" i="14"/>
  <c r="H65" i="14" s="1"/>
  <c r="H51" i="14"/>
  <c r="H50" i="14"/>
  <c r="H49" i="14"/>
  <c r="H48" i="14"/>
  <c r="H47" i="14"/>
  <c r="H46" i="14"/>
  <c r="H45" i="14"/>
  <c r="H44" i="14"/>
  <c r="H43" i="14"/>
  <c r="H52" i="14" s="1"/>
  <c r="H32" i="14"/>
  <c r="H31" i="14"/>
  <c r="H29" i="14"/>
  <c r="H27" i="14"/>
  <c r="H26" i="14"/>
  <c r="H24" i="14"/>
  <c r="H22" i="14"/>
  <c r="H20" i="14"/>
  <c r="H19" i="14"/>
  <c r="H18" i="14"/>
  <c r="H17" i="14"/>
  <c r="H15" i="14"/>
  <c r="H10" i="14"/>
  <c r="H13" i="14" s="1"/>
  <c r="G10" i="14"/>
  <c r="H11" i="10" l="1"/>
  <c r="H13" i="10"/>
  <c r="H14" i="10"/>
  <c r="G12" i="10"/>
  <c r="H12" i="10" s="1"/>
  <c r="H10" i="10"/>
  <c r="G100" i="14"/>
  <c r="H100" i="14" s="1"/>
  <c r="H101" i="14" s="1"/>
  <c r="F33" i="14"/>
  <c r="H33" i="14" s="1"/>
  <c r="H35" i="14" s="1"/>
  <c r="G38" i="14" l="1"/>
  <c r="H38" i="14" s="1"/>
  <c r="G36" i="14"/>
  <c r="H36" i="14" s="1"/>
  <c r="G37" i="14"/>
  <c r="H37" i="14" s="1"/>
  <c r="H40" i="14" s="1"/>
  <c r="H102" i="14" s="1"/>
  <c r="G103" i="14" s="1"/>
  <c r="H103" i="14" s="1"/>
  <c r="H104" i="14" s="1"/>
  <c r="H105" i="14" l="1"/>
  <c r="H106" i="14" s="1"/>
  <c r="F30" i="9" l="1"/>
  <c r="E35" i="12"/>
  <c r="E39" i="12"/>
  <c r="F38" i="12" s="1"/>
  <c r="F41" i="12" s="1"/>
  <c r="C6" i="12" l="1"/>
  <c r="C6" i="11"/>
  <c r="F15" i="12"/>
  <c r="F14" i="12"/>
  <c r="F10" i="12"/>
  <c r="F9" i="12" s="1"/>
  <c r="F9" i="11"/>
  <c r="F13" i="11" s="1"/>
  <c r="F15" i="11" s="1"/>
  <c r="F16" i="11" s="1"/>
  <c r="E25" i="12" l="1"/>
  <c r="E29" i="12"/>
  <c r="E22" i="12"/>
  <c r="F21" i="12" s="1"/>
  <c r="F17" i="11"/>
  <c r="F18" i="11" s="1"/>
  <c r="F16" i="10" l="1"/>
  <c r="F17" i="10" s="1"/>
  <c r="G17" i="10" s="1"/>
  <c r="H17" i="10" s="1"/>
  <c r="E30" i="12"/>
  <c r="F28" i="12" s="1"/>
  <c r="E26" i="12"/>
  <c r="F24" i="12" s="1"/>
  <c r="F28" i="9"/>
  <c r="G16" i="10" l="1"/>
  <c r="H16" i="10" s="1"/>
  <c r="F20" i="12"/>
  <c r="F33" i="12" s="1"/>
  <c r="F24" i="9"/>
  <c r="F22" i="9"/>
  <c r="F20" i="9"/>
  <c r="F18" i="9"/>
  <c r="F34" i="12" l="1"/>
  <c r="F16" i="9"/>
  <c r="F42" i="12" l="1"/>
  <c r="F43" i="12" s="1"/>
  <c r="F15" i="9"/>
  <c r="F27" i="9" l="1"/>
  <c r="F25" i="9"/>
  <c r="F12" i="9"/>
  <c r="F16" i="7"/>
  <c r="F15" i="7"/>
  <c r="F14" i="7"/>
  <c r="F13" i="7"/>
  <c r="F10" i="7" l="1"/>
  <c r="F17" i="7" s="1"/>
  <c r="F19" i="7" l="1"/>
  <c r="F20" i="7" s="1"/>
  <c r="F13" i="9"/>
  <c r="F10" i="9" l="1"/>
  <c r="F31" i="9" s="1"/>
  <c r="F21" i="7" l="1"/>
  <c r="F22" i="7" s="1"/>
  <c r="F32" i="9"/>
  <c r="F33" i="9" s="1"/>
</calcChain>
</file>

<file path=xl/sharedStrings.xml><?xml version="1.0" encoding="utf-8"?>
<sst xmlns="http://schemas.openxmlformats.org/spreadsheetml/2006/main" count="453" uniqueCount="311">
  <si>
    <t>№ п/п</t>
  </si>
  <si>
    <t>Наименование видов работ</t>
  </si>
  <si>
    <t>Единица измерения</t>
  </si>
  <si>
    <t>Ссылка на номер локальной сметы</t>
  </si>
  <si>
    <t>комплект</t>
  </si>
  <si>
    <t>Смета №1</t>
  </si>
  <si>
    <t>Смета №2</t>
  </si>
  <si>
    <t>1</t>
  </si>
  <si>
    <t>Стоимость предпроектных работ</t>
  </si>
  <si>
    <t>2</t>
  </si>
  <si>
    <t>Наименование зданий,сооружений, видов  проектных работ</t>
  </si>
  <si>
    <t>Сборник цен на предпроектные работы для электросетевого строительства
№№таблиц и пунктов, формула для расчета</t>
  </si>
  <si>
    <t>Расчет стоимости работ, значение частного показателя</t>
  </si>
  <si>
    <t>1.1.</t>
  </si>
  <si>
    <t xml:space="preserve">Стоимость общих предпроектных работ в ценах 01.01.1991г. </t>
  </si>
  <si>
    <t>2.1.</t>
  </si>
  <si>
    <t>ВСЕГО</t>
  </si>
  <si>
    <t>НДС 20%</t>
  </si>
  <si>
    <t>3</t>
  </si>
  <si>
    <t>Общая стоимость. руб. без НДС 20%</t>
  </si>
  <si>
    <t xml:space="preserve">Сумма
НДС 20 %
</t>
  </si>
  <si>
    <t>Общая стоимость. руб. с НДС</t>
  </si>
  <si>
    <t xml:space="preserve">СМЕТА №1 Предпроектные работы </t>
  </si>
  <si>
    <t>Составил: ______________________Чижова А.Н.</t>
  </si>
  <si>
    <t xml:space="preserve">Итого по смете без НДС </t>
  </si>
  <si>
    <t>Итого</t>
  </si>
  <si>
    <t>Сводная таблица стоимости работ на ПИР</t>
  </si>
  <si>
    <t>Номер ИП: L_009-11-1-03.13-2553</t>
  </si>
  <si>
    <t>РЗА</t>
  </si>
  <si>
    <t>Связь</t>
  </si>
  <si>
    <t xml:space="preserve">СБЦП "Объекты энергетики, 2003" </t>
  </si>
  <si>
    <t>"Справочник базовых цен на проектные работы для строительства". СБЦП (номер таблицы)</t>
  </si>
  <si>
    <t>Наименование зданий,сооружений, видов  проектных работ (уровень цен)</t>
  </si>
  <si>
    <t xml:space="preserve">табл.4 п.7 (К=16+57+10+8=0,91) с учетом табл.29 </t>
  </si>
  <si>
    <t>Релейная защита подстанций 110 кВ . (по состоянию на 01.01.2001)</t>
  </si>
  <si>
    <t>Кабельная линия связи. (по состоянию на 01.01.2001)</t>
  </si>
  <si>
    <t>Релейная защита и линейная автоматика сети 110 кВ. (по состоянию на 01.01.2001)</t>
  </si>
  <si>
    <t>Расчеты токов короткого замыкания в сети напряжением 110 кВ. (по состоянию на 01.01.2001)</t>
  </si>
  <si>
    <t>Противоаварийная автоматика (по состоянию на 01.01.2001)</t>
  </si>
  <si>
    <t>3.1.</t>
  </si>
  <si>
    <t>3.2.</t>
  </si>
  <si>
    <t>3.3.</t>
  </si>
  <si>
    <t>3.4.</t>
  </si>
  <si>
    <t>Стоимость реконструкции ПС 110 кВ (по состоянию на 01.01.2001)</t>
  </si>
  <si>
    <t xml:space="preserve">СБЦП 81-2001-02 Объекты связи </t>
  </si>
  <si>
    <t xml:space="preserve">Итого стоимость разработки рабочей документации  в ценах 01.01.2001г. </t>
  </si>
  <si>
    <t xml:space="preserve">Ценник на предпроектные работы электросетевого хозяйства  1991г </t>
  </si>
  <si>
    <r>
      <t>Ст-ть</t>
    </r>
    <r>
      <rPr>
        <vertAlign val="subscript"/>
        <sz val="10"/>
        <rFont val="Arial"/>
        <family val="2"/>
        <charset val="204"/>
      </rPr>
      <t>ид1</t>
    </r>
    <r>
      <rPr>
        <sz val="10"/>
        <rFont val="Arial"/>
        <family val="2"/>
        <charset val="204"/>
      </rPr>
      <t xml:space="preserve"> - Сбор и обобщение документации по действующей подстанции табл.7, п.1</t>
    </r>
  </si>
  <si>
    <t>604*1,5</t>
  </si>
  <si>
    <t>952*1,5</t>
  </si>
  <si>
    <t>608*1,5</t>
  </si>
  <si>
    <r>
      <t>Ст-ть</t>
    </r>
    <r>
      <rPr>
        <vertAlign val="subscript"/>
        <sz val="10"/>
        <rFont val="Arial"/>
        <family val="2"/>
        <charset val="204"/>
      </rPr>
      <t>ид2</t>
    </r>
    <r>
      <rPr>
        <sz val="10"/>
        <rFont val="Arial"/>
        <family val="2"/>
        <charset val="204"/>
      </rPr>
      <t xml:space="preserve"> - Сбор исходных данных о фактических условиях размещения площадок ПС и сопоставление их с условиями, предусмотренными проектом табл.7, п.2,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</si>
  <si>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ид3</t>
    </r>
    <r>
      <rPr>
        <sz val="10"/>
        <rFont val="Arial"/>
        <family val="2"/>
        <charset val="204"/>
      </rPr>
      <t xml:space="preserve"> -  Натуральное обследование состояния отдельных зданий и сооружений ПС и сопоставление их состояния с требованиями проекта табр.7, п.3 К-т -1,5 Общ указ п.6</t>
    </r>
  </si>
  <si>
    <r>
      <t>Ст-ть</t>
    </r>
    <r>
      <rPr>
        <vertAlign val="subscript"/>
        <sz val="10"/>
        <rFont val="Arial"/>
        <family val="2"/>
        <charset val="204"/>
      </rPr>
      <t>ид4</t>
    </r>
    <r>
      <rPr>
        <sz val="10"/>
        <rFont val="Arial"/>
        <family val="2"/>
        <charset val="204"/>
      </rPr>
      <t xml:space="preserve"> - Составление отчета по выполненным работам, реконструкции комиссии (рабочей группе) по объектам реконструкции или техническому перевооружению табл.7 п.4 К-т -1,5 Общ указ п.6</t>
    </r>
  </si>
  <si>
    <t>177*1,5</t>
  </si>
  <si>
    <t>Предпроектные работы</t>
  </si>
  <si>
    <t>Итого стоимость разработки рабочей документации  в ценах 01.01.1991г.</t>
  </si>
  <si>
    <t>2.1</t>
  </si>
  <si>
    <t>Оборудование высокочастотной обработки линии (по состоянию на 01.01.2001)</t>
  </si>
  <si>
    <t>4</t>
  </si>
  <si>
    <t>4.1.</t>
  </si>
  <si>
    <t>табл.15. п.14 Бц=2,76+0,58тр. К=1 удельная стоимость проектирования; Стадия Проект+Рабочая К=1</t>
  </si>
  <si>
    <t>Итого стоимость работ по пункту, руб.</t>
  </si>
  <si>
    <t>2,29тр*0,91</t>
  </si>
  <si>
    <t>(2,76+0,58)тр*1*1*1,5</t>
  </si>
  <si>
    <t>ВЧ</t>
  </si>
  <si>
    <t>1160тр*0,16*0,35*1</t>
  </si>
  <si>
    <t>табл.8  БцПР = 1160 тр; Табл Б9.1 (Кудельной стоимости=0,16) с учетом табл.29; К=0,35(общ указ. П. 1.8.4) Стадия Проект+Рабочая К=1</t>
  </si>
  <si>
    <t>Реконструкция ПС в части монтажа трансформаторов тока 110 кВ и трансформаторов напряжения 110 кВ</t>
  </si>
  <si>
    <t xml:space="preserve">Стоимость1991 = Ст-тьид1 + Ст-тьид2 + Ст-тьид3+Ст-тьид4 </t>
  </si>
  <si>
    <t>табл.18. п.2 Бц=450тр. К=0,3 удельная стоимость проектирования; К=1,8 (прим к таб.18). К=0,5 (общ указ. П. 1.8.4) Стадия Проект+Рабочая К=1</t>
  </si>
  <si>
    <t>450тр*0,3*1,8*1*0,5</t>
  </si>
  <si>
    <t>табл.20. п.15 Бц=25,9т.р; К=0,5 (общ указ. П. 1.8.4) Стадия Проект+Рабочая К=1</t>
  </si>
  <si>
    <t>25,9тр*1*0,5</t>
  </si>
  <si>
    <t>табл.21. п.11 Бц=55т.р.;  К=0,5 (общ указ. П. 1.8.4) Стадия Проект+Рабочая К=1</t>
  </si>
  <si>
    <t>55тр*1*0,5</t>
  </si>
  <si>
    <t>табл.22. п.1 БцПР=18,08т.р.БцРД=2,78;  К=0,5 (общ указ. П. 1.8.4) Стадия Проект+Рабочая К=1</t>
  </si>
  <si>
    <t>(18,08+2,78)тр*0,5*1</t>
  </si>
  <si>
    <t>Индекс изменения стоимости проектных работ на 2 квартал 2021 г. к ценам 1991г. (письмо Минстроя РФ № 18410-ИФ/09 от 04.05.2021)</t>
  </si>
  <si>
    <t>Итого стоимость разработки рабочей документации  в ценах 2 кв. 2021 г</t>
  </si>
  <si>
    <t>В ценах 2 квартала 2021 года, с учетом прогнозного уровня цен на 2022 год</t>
  </si>
  <si>
    <t>Индекс по письму МР2/80-01-01/8051 от 27.10.2020</t>
  </si>
  <si>
    <t>Индекс изменения сметной стоимости в текущие цены 2 кв. 2021 г письмо Минстроя РФ №№ 18410-ИФ/09 от 04.05.2021</t>
  </si>
  <si>
    <t>В ценах 2 квартала 2021 года</t>
  </si>
  <si>
    <t>СМЕТА №2 Инженерно-геодезические изыскания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</si>
  <si>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
№№таблиц и пунктов, формула для расчета</t>
  </si>
  <si>
    <t>Создание инженерно-топографического плана, масштаб съемки 1:500, высота сечения рельефа 0,5 м: 2 категории сложности - полевые работы
(га)</t>
  </si>
  <si>
    <t xml:space="preserve">Стоимость полевых работ в ценах 01.01.2001г. </t>
  </si>
  <si>
    <t>УБЦ  табл.9 п.5-3-1
"Инж.-геодез. изыск.(2004 г.)"
Расходы по внутреннему транспорту при расстоянии от базы изыск. организации. партии. отряда до участка изысканий св. 5 до 10 км. при сметной стоимости полевых изыскателских работ до 5 тыс. руб. - 9%. с учетом Постановления Госстроя №22 от 01.03.1990г -9%*1.25=11.25% К=11.25%;
УБЦ2 табл.5 п.5.Расходы по внешнему транспорту при расстоянии проезда в одном направлении 1000-2000 км. при экспедиционных условиях продолжит. до 3 мес. К=28%;
УБЦ2 табл.4 п.1.Расходы по внутреннему транспорту при расстоянии от базы до участка работ до 5 км. при сметной ст-ти полевых изыск. работ до 75 тыс. руб. К=8.75%;
СБЦ-2004-80-7.Регистрация инженерно-геодезических изысканий К=1.005;
УБЦ2 п.13 ОУ.Расходы на организацию и ликвидацию инженерно-геодезических работ К=1.06</t>
  </si>
  <si>
    <t>0,2 * 4632 * 1,1125*1,28*1,0875*1,005*1,06</t>
  </si>
  <si>
    <t>СМЕТА №3 Инженерно-геологические изыскания</t>
  </si>
  <si>
    <t>Справочник базовых цен на инженерные изыскания для строительства «Инженерно-геодезические изыскания», утвержденных Постановлением Госстроя России от 23.12.2003 года № 213 №№таблиц и пунктов, формула для расчета</t>
  </si>
  <si>
    <t>Полевые работы</t>
  </si>
  <si>
    <t>1.1</t>
  </si>
  <si>
    <t>Стоимость полевых работ в ценах 01.01.2001г.</t>
  </si>
  <si>
    <t>ПР01 = БС*L*N, где</t>
  </si>
  <si>
    <t>БС - Базовая стоимость топографической съемки (Таблица 9 п.5), руб.</t>
  </si>
  <si>
    <t>L - Площадь, га</t>
  </si>
  <si>
    <t>N - количество ПС</t>
  </si>
  <si>
    <t>Камеральные работы</t>
  </si>
  <si>
    <t>Стоимость камеральных работ в ценах 01.01.2001г.</t>
  </si>
  <si>
    <t>КР01 = БС*L*N*К, где</t>
  </si>
  <si>
    <t>К- повышающий учитывающий выполнение камеральных и картографических работ с применением компьютерных технологий (общие указания, п.15д)</t>
  </si>
  <si>
    <t>Прочие затраты</t>
  </si>
  <si>
    <t>3.1</t>
  </si>
  <si>
    <t>Внутренний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</si>
  <si>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 xml:space="preserve"> = 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ВнТр  ,</t>
    </r>
    <r>
      <rPr>
        <b/>
        <sz val="10"/>
        <rFont val="Arial"/>
        <family val="2"/>
        <charset val="204"/>
      </rPr>
      <t>где</t>
    </r>
  </si>
  <si>
    <r>
      <t>ПР</t>
    </r>
    <r>
      <rPr>
        <vertAlign val="subscript"/>
        <sz val="10"/>
        <rFont val="Arial"/>
        <family val="2"/>
        <charset val="204"/>
      </rPr>
      <t>01</t>
    </r>
    <r>
      <rPr>
        <sz val="10"/>
        <rFont val="Arial"/>
        <family val="2"/>
        <charset val="204"/>
      </rPr>
      <t xml:space="preserve"> - Стоимость полевых работ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</si>
  <si>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коэффициент расходов по внутреннему транспорту  (общие указания Таблица 4 п.2)</t>
    </r>
  </si>
  <si>
    <t>3.2</t>
  </si>
  <si>
    <t>Внешний транспорт</t>
  </si>
  <si>
    <r>
      <t>СТ</t>
    </r>
    <r>
      <rPr>
        <b/>
        <vertAlign val="subscript"/>
        <sz val="10"/>
        <rFont val="Arial"/>
        <family val="2"/>
        <charset val="204"/>
      </rPr>
      <t>ВнешТр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)* К</t>
    </r>
    <r>
      <rPr>
        <b/>
        <vertAlign val="subscript"/>
        <sz val="10"/>
        <rFont val="Arial"/>
        <family val="2"/>
        <charset val="204"/>
      </rPr>
      <t>ВнешТр  ,</t>
    </r>
    <r>
      <rPr>
        <b/>
        <sz val="10"/>
        <rFont val="Arial"/>
        <family val="2"/>
        <charset val="204"/>
      </rPr>
      <t>где</t>
    </r>
  </si>
  <si>
    <r>
      <t>СТ</t>
    </r>
    <r>
      <rPr>
        <vertAlign val="subscript"/>
        <sz val="10"/>
        <rFont val="Arial"/>
        <family val="2"/>
        <charset val="204"/>
      </rPr>
      <t>ВнутТр</t>
    </r>
    <r>
      <rPr>
        <sz val="10"/>
        <rFont val="Arial"/>
        <family val="2"/>
        <charset val="204"/>
      </rPr>
      <t xml:space="preserve"> - Стоимость внутреннего транспорта в ценах 01.01.2001г.</t>
    </r>
  </si>
  <si>
    <r>
      <t>К</t>
    </r>
    <r>
      <rPr>
        <vertAlign val="subscript"/>
        <sz val="10"/>
        <rFont val="Arial"/>
        <family val="2"/>
        <charset val="204"/>
      </rPr>
      <t>ВнешТр</t>
    </r>
    <r>
      <rPr>
        <sz val="10"/>
        <rFont val="Arial"/>
        <family val="2"/>
        <charset val="204"/>
      </rPr>
      <t xml:space="preserve"> - коэффициент по внешнему транспорту в обоих направлениях  (общие указания Таблица 5 п.5)</t>
    </r>
  </si>
  <si>
    <t>3.3</t>
  </si>
  <si>
    <t>Организация и ликвидация работ</t>
  </si>
  <si>
    <r>
      <t>СТ</t>
    </r>
    <r>
      <rPr>
        <b/>
        <vertAlign val="subscript"/>
        <sz val="10"/>
        <rFont val="Arial"/>
        <family val="2"/>
        <charset val="204"/>
      </rPr>
      <t>ОЛР</t>
    </r>
    <r>
      <rPr>
        <b/>
        <sz val="10"/>
        <rFont val="Arial"/>
        <family val="2"/>
        <charset val="204"/>
      </rPr>
      <t xml:space="preserve"> = (ПР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 xml:space="preserve"> + СТ</t>
    </r>
    <r>
      <rPr>
        <b/>
        <vertAlign val="subscript"/>
        <sz val="10"/>
        <rFont val="Arial"/>
        <family val="2"/>
        <charset val="204"/>
      </rPr>
      <t>ВнутТр</t>
    </r>
    <r>
      <rPr>
        <b/>
        <sz val="10"/>
        <rFont val="Arial"/>
        <family val="2"/>
        <charset val="204"/>
      </rPr>
      <t>) * К</t>
    </r>
    <r>
      <rPr>
        <b/>
        <vertAlign val="subscript"/>
        <sz val="10"/>
        <rFont val="Arial"/>
        <family val="2"/>
        <charset val="204"/>
      </rPr>
      <t>2</t>
    </r>
    <r>
      <rPr>
        <b/>
        <sz val="10"/>
        <rFont val="Arial"/>
        <family val="2"/>
        <charset val="204"/>
      </rPr>
      <t xml:space="preserve"> * К</t>
    </r>
    <r>
      <rPr>
        <b/>
        <vertAlign val="subscript"/>
        <sz val="10"/>
        <rFont val="Arial"/>
        <family val="2"/>
        <charset val="204"/>
      </rPr>
      <t>ОЛР  ,</t>
    </r>
    <r>
      <rPr>
        <b/>
        <sz val="10"/>
        <rFont val="Arial"/>
        <family val="2"/>
        <charset val="204"/>
      </rPr>
      <t>где</t>
    </r>
  </si>
  <si>
    <r>
      <t>К</t>
    </r>
    <r>
      <rPr>
        <vertAlign val="subscript"/>
        <sz val="10"/>
        <rFont val="Arial"/>
        <family val="2"/>
        <charset val="204"/>
      </rPr>
      <t>ОЛР</t>
    </r>
    <r>
      <rPr>
        <sz val="10"/>
        <rFont val="Arial"/>
        <family val="2"/>
        <charset val="204"/>
      </rPr>
      <t xml:space="preserve"> - коэффициент, учитывающий расходы по организации и ликвидации работ на объекте   (общие указания п.13)</t>
    </r>
  </si>
  <si>
    <r>
      <t>К</t>
    </r>
    <r>
      <rPr>
        <vertAlign val="sub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- услолжняющий коэффициент по изысканиям, выполняемым в районах Крайнего Севера  (общие указания п.13)</t>
    </r>
  </si>
  <si>
    <t>4.</t>
  </si>
  <si>
    <t>Итого затрат по п.1 - 3</t>
  </si>
  <si>
    <t>4.1</t>
  </si>
  <si>
    <t>Регистрация изысканий для стр-ва и приемки материалов выполнненных работ</t>
  </si>
  <si>
    <t>СТрег = Итого по п.1.4 * Крег ,где</t>
  </si>
  <si>
    <t>СТ01 - сметная стоиомсть изысканий по п.1.1 - 1.3, п.1.5 в ценах на 01.01.2001 г.</t>
  </si>
  <si>
    <t>Крег - коэффициент, учитывающий расходы по регистрации изысканий (Таблица 80, п.1)</t>
  </si>
  <si>
    <t>5</t>
  </si>
  <si>
    <t>Итого сметная стоимость геологических изысканий по п.1 - 4, в ценах на 01.01.2001 г.</t>
  </si>
  <si>
    <t>6</t>
  </si>
  <si>
    <t>Итого стосметная стоиомсть геологических изысканий в текущих ценах</t>
  </si>
  <si>
    <r>
      <t>СТ</t>
    </r>
    <r>
      <rPr>
        <b/>
        <vertAlign val="subscript"/>
        <sz val="10"/>
        <rFont val="Arial"/>
        <family val="2"/>
        <charset val="204"/>
      </rPr>
      <t>14</t>
    </r>
    <r>
      <rPr>
        <b/>
        <sz val="10"/>
        <rFont val="Arial"/>
        <family val="2"/>
        <charset val="204"/>
      </rPr>
      <t xml:space="preserve"> = СТ</t>
    </r>
    <r>
      <rPr>
        <b/>
        <vertAlign val="subscript"/>
        <sz val="10"/>
        <rFont val="Arial"/>
        <family val="2"/>
        <charset val="204"/>
      </rPr>
      <t>01</t>
    </r>
    <r>
      <rPr>
        <b/>
        <sz val="10"/>
        <rFont val="Arial"/>
        <family val="2"/>
        <charset val="204"/>
      </rPr>
      <t>*К</t>
    </r>
    <r>
      <rPr>
        <b/>
        <vertAlign val="subscript"/>
        <sz val="10"/>
        <rFont val="Arial"/>
        <family val="2"/>
        <charset val="204"/>
      </rPr>
      <t>пер  ,</t>
    </r>
    <r>
      <rPr>
        <b/>
        <sz val="10"/>
        <rFont val="Arial"/>
        <family val="2"/>
        <charset val="204"/>
      </rPr>
      <t>где</t>
    </r>
  </si>
  <si>
    <t>СТ01 - сметная стоиомсть изысканий по п.1-4 в ценах на 01.01.2001 г.</t>
  </si>
  <si>
    <t>Индекс изменения сметной стоимости в текущие цены 2 кв. 2021 г письмо Минстроя РФ № 18410-ИФ/09 от 04.05.2021;</t>
  </si>
  <si>
    <t>Итого по смете без НДС 20%</t>
  </si>
  <si>
    <t>Стоимость инженерно-геодезических изысканий</t>
  </si>
  <si>
    <t>Стоимость инженерно-геологических изысканий</t>
  </si>
  <si>
    <t>Смета №3</t>
  </si>
  <si>
    <t>Смета №4</t>
  </si>
  <si>
    <t xml:space="preserve">СМЕТА №4 Проектные работы </t>
  </si>
  <si>
    <t>В ценах 2 квартала 2021 года.</t>
  </si>
  <si>
    <t>№</t>
  </si>
  <si>
    <t>Виды работ</t>
  </si>
  <si>
    <t>Ед. изм.</t>
  </si>
  <si>
    <t>Номера таблиц,§ и пунктов СБЦ-99</t>
  </si>
  <si>
    <t>Коэф.</t>
  </si>
  <si>
    <t xml:space="preserve">Цена, руб. </t>
  </si>
  <si>
    <t>Объём</t>
  </si>
  <si>
    <t>Стоимость, руб.</t>
  </si>
  <si>
    <t>п/п</t>
  </si>
  <si>
    <t>ПРЕДПОЛЕВЫЕ КАМЕРАЛЬНЫЕ РАБОТЫ</t>
  </si>
  <si>
    <t>Составление программы производства работ, средняя глубина исследования до 5 м, исследуемая площадь св. 1 до 3 км2</t>
  </si>
  <si>
    <t>1 программа</t>
  </si>
  <si>
    <t>т.81 §4</t>
  </si>
  <si>
    <t>К = 1,25 - прим. 2 т. 81</t>
  </si>
  <si>
    <t>ИТОГО по предполевым камеральным работам:</t>
  </si>
  <si>
    <t>ПОЛЕВЫЕ РАБОТЫ</t>
  </si>
  <si>
    <t>Инженерно-экологическая рекогносцировка при удовлетворительной проходимости, II категория сложности</t>
  </si>
  <si>
    <t>1 км</t>
  </si>
  <si>
    <t>т.9 §1</t>
  </si>
  <si>
    <t>К=1,1 прим.1 т.9</t>
  </si>
  <si>
    <t>Наблюдения при передвижении по маршруту при составлении инженерно­экологической карты в масштабе 1:2000-1:1000, удовлетворительная проходимость</t>
  </si>
  <si>
    <t>т.10 §4</t>
  </si>
  <si>
    <t>Наблюдения при передвижении по маршруту при составлении почвенной карты в масштабе 1:2000-1:1000, удовлетворительная  проходимость</t>
  </si>
  <si>
    <t>Описание точек наблюдений при составлении инженерно-экологических карт, I категория сложности</t>
  </si>
  <si>
    <t>1 точка</t>
  </si>
  <si>
    <t>т.11 §2</t>
  </si>
  <si>
    <t>Описание точек наблюдений при составлении почвенных карт, II категория сложности</t>
  </si>
  <si>
    <t>К=0,4 прим. 1 т.11</t>
  </si>
  <si>
    <t>Отбор объединенных проб почво­грунтов для анализа на загрязненность по химическим показателям</t>
  </si>
  <si>
    <t>1 проба</t>
  </si>
  <si>
    <t>т.60 §7</t>
  </si>
  <si>
    <t>К=0,9 прим. 1 т.60</t>
  </si>
  <si>
    <t>Отбор точечных проб грунтовых вод для анализа на загрязненность по химическим показателям, без использования плавсредств</t>
  </si>
  <si>
    <t>т.60 §2</t>
  </si>
  <si>
    <t>К=0,5 прим.3 т.60</t>
  </si>
  <si>
    <t>Отбор проб почво-грунтов с одной пробной площадки для бактериологического анализа</t>
  </si>
  <si>
    <t>т.60 §10</t>
  </si>
  <si>
    <t>Отбор проб почво-грунтов с одной пробной площадки для паразитологического анализа</t>
  </si>
  <si>
    <t>К=0,9 прим.4 т.60</t>
  </si>
  <si>
    <t>Отбор точечных проб почво-грунтов методом конверта для анализа на радиоактивное загрязнение</t>
  </si>
  <si>
    <t>К=1,2 прим.2 т.60</t>
  </si>
  <si>
    <t>Измерение потока радона на участке</t>
  </si>
  <si>
    <t>20 точек</t>
  </si>
  <si>
    <t>т.91 §1</t>
  </si>
  <si>
    <t>Радиационное обследование участка площадью свыше 1,0 га</t>
  </si>
  <si>
    <t>0,1 га</t>
  </si>
  <si>
    <t>т.92 §2</t>
  </si>
  <si>
    <t>Выполнение полевых изыскательских работ в неблагоприятный период года</t>
  </si>
  <si>
    <t>т.2 §2</t>
  </si>
  <si>
    <t>К=1,3 ОУ. п.8г</t>
  </si>
  <si>
    <t>ВСЕГО:</t>
  </si>
  <si>
    <t>Расходы по внутреннему транспорту, расстояние от базы изыскательской экспедиции до участка работ от 10 до 15 км, сметная стоимость полевых работ свыше 50 тыс. руб. (8,75% от стоимости полевых работ)</t>
  </si>
  <si>
    <t>руб.</t>
  </si>
  <si>
    <t>т.4 §1</t>
  </si>
  <si>
    <t>Расходы по внешнему транспорту в обоих направлениях, расстояние проезда и перевозки в одном направлении свыше 25 км до 100 км, продолжительность полевых работ до 1 мес. (14% от стоимости полевых работ)</t>
  </si>
  <si>
    <t>т.5 §1</t>
  </si>
  <si>
    <t>Расходы по организации и ликвидации работ на объекте (6% от стоимости полевых работ)</t>
  </si>
  <si>
    <r>
      <t>ру</t>
    </r>
    <r>
      <rPr>
        <vertAlign val="superscript"/>
        <sz val="11"/>
        <color rgb="FF000000"/>
        <rFont val="Times New Roman"/>
        <family val="1"/>
        <charset val="204"/>
      </rPr>
      <t>б</t>
    </r>
    <r>
      <rPr>
        <sz val="11"/>
        <color rgb="FF000000"/>
        <rFont val="Times New Roman"/>
        <family val="1"/>
        <charset val="204"/>
      </rPr>
      <t>.</t>
    </r>
  </si>
  <si>
    <t>О.У. п.13</t>
  </si>
  <si>
    <t>ИТОГО по полевым работам:</t>
  </si>
  <si>
    <t>ЛАБОРАТОРНЫЕ РАБОТЫ</t>
  </si>
  <si>
    <t>Анализ почво-грунтов на химическое и радиоактивное загрязнение</t>
  </si>
  <si>
    <t>Водородный показатель рН водной вытяжки электриметрическим методом</t>
  </si>
  <si>
    <t>1 образец</t>
  </si>
  <si>
    <t>т.70 §14</t>
  </si>
  <si>
    <t>Определение валового содержания солей тяжелых металлов методом атомной абсорбции (Cu, Zn, Pb, Cd, Ni, Co, As)</t>
  </si>
  <si>
    <t>т.70 §57</t>
  </si>
  <si>
    <t>Определение валового содержания солей тяжелых металлов с использованием ртутно-гидридной приставки (Hg)</t>
  </si>
  <si>
    <t>т.70 §59</t>
  </si>
  <si>
    <t>Определение нефтяных углеводородов хроматографическим методом</t>
  </si>
  <si>
    <t>т.70 §63</t>
  </si>
  <si>
    <t>Определение полициклических ароматических углеводородов хроматографическим методом (3,4 - бенз(а)пирен)</t>
  </si>
  <si>
    <t>т.70 §66</t>
  </si>
  <si>
    <t>Пробоподготовка для выполнения физико-химических исследований солей тяжелых металлов (Cu, Zn, Pb, Cd, Ni, Co)</t>
  </si>
  <si>
    <t>т.70 §85</t>
  </si>
  <si>
    <t>Пробоподготовка для выполнения физико-химических исследований солей тяжелых металлов (Hg)</t>
  </si>
  <si>
    <t>Пробоподготовка для выполнения физико-химических исследований солей тяжелых металлов (As)</t>
  </si>
  <si>
    <t>Спектрометрия лабораторно с пробоподготовкой</t>
  </si>
  <si>
    <t>т.91 §4</t>
  </si>
  <si>
    <t>Анализ почво-грунтов на агрохимические показатели</t>
  </si>
  <si>
    <t>Гранулометрический анализ фракций меньше 0,1 мм методом ареометра</t>
  </si>
  <si>
    <t>т.64 §12</t>
  </si>
  <si>
    <t>Общий (валовой) азот по Къелдалю</t>
  </si>
  <si>
    <t>т.70 §32</t>
  </si>
  <si>
    <t>Обменный натрий по Гедройцу</t>
  </si>
  <si>
    <t>т.70 §15</t>
  </si>
  <si>
    <t>Гумус по Тюрину</t>
  </si>
  <si>
    <t>т.70 §22</t>
  </si>
  <si>
    <t>Калий подвижный по Масловой- Чернышевой</t>
  </si>
  <si>
    <t>т.70 §29</t>
  </si>
  <si>
    <t>Емкость поглощения по методу Антипова-Каратаева и Мамаевой</t>
  </si>
  <si>
    <t>т.70 §43</t>
  </si>
  <si>
    <t>Отбор корешков для определения гумуса и азота</t>
  </si>
  <si>
    <t>т.70 §72</t>
  </si>
  <si>
    <t>Фосфор подвижный по Труогу-Мейеру</t>
  </si>
  <si>
    <t>т.70 §79</t>
  </si>
  <si>
    <t>Приготовление водной вытяжки</t>
  </si>
  <si>
    <t>т.70 §83</t>
  </si>
  <si>
    <t>Анализ водной вытяжки</t>
  </si>
  <si>
    <t>т.71 §1</t>
  </si>
  <si>
    <t>Анализ подземных вод на химическое загрязнение</t>
  </si>
  <si>
    <t>Определение аммоний-ионов колориметрическим методом</t>
  </si>
  <si>
    <t>т.72 §2</t>
  </si>
  <si>
    <t>Определение гидрокарбонат-ионов объемным методом</t>
  </si>
  <si>
    <t>т.72 §7</t>
  </si>
  <si>
    <t>Определение растворенной формы общего железа колориметрическим методом</t>
  </si>
  <si>
    <t>т.72 §8</t>
  </si>
  <si>
    <t>Определение растворенной формы кадмия колориметрическим методом</t>
  </si>
  <si>
    <t>т.72 §15</t>
  </si>
  <si>
    <t>Определение растворенной формы кобальта колориметрическим методом с предварительным концентрированием</t>
  </si>
  <si>
    <t>т.72 §23</t>
  </si>
  <si>
    <t>Определение концентрации водородных ионов - рН электриметрическим методом</t>
  </si>
  <si>
    <t>т.72 §25</t>
  </si>
  <si>
    <t>Определение магния колориметрическим методом</t>
  </si>
  <si>
    <t>т.72 §29</t>
  </si>
  <si>
    <t>Определение растворенной формы марганца пламенным атомно­абсорбционным методом</t>
  </si>
  <si>
    <t>т.72 §31</t>
  </si>
  <si>
    <t>Определение растворенной формы меди пламенным атомно­абсорбционным методом</t>
  </si>
  <si>
    <t>т.72 §32</t>
  </si>
  <si>
    <t>Определение растворенной формы мышьяка колориметрическим методом</t>
  </si>
  <si>
    <t>т.72 §35</t>
  </si>
  <si>
    <t>Определение калия расчетным методом</t>
  </si>
  <si>
    <t>т.72 §37</t>
  </si>
  <si>
    <t>Определение нефтепродуктов методом тонкослойной хроматографии с УФ спектральным окончанием</t>
  </si>
  <si>
    <t>т.72 §38</t>
  </si>
  <si>
    <t>Определение растворенной формы никеля пламенным атомно­абсорбционным методом</t>
  </si>
  <si>
    <t>т.72 §40</t>
  </si>
  <si>
    <t>Определение нитратов колориметрическим методом</t>
  </si>
  <si>
    <t>т.72 §41</t>
  </si>
  <si>
    <t>Определение нитритов колориметрическим методом</t>
  </si>
  <si>
    <t>т.72 §42</t>
  </si>
  <si>
    <t>Определение растворенной формы ртути колориметрическим методом</t>
  </si>
  <si>
    <t>т.72 §48</t>
  </si>
  <si>
    <t>Определение растворенной формы свинца колориметрическим методом</t>
  </si>
  <si>
    <t>т.72 §49</t>
  </si>
  <si>
    <t>Определение сульфатов весовым методом</t>
  </si>
  <si>
    <t>т.72 §55</t>
  </si>
  <si>
    <t>Определение сухого остатка методом простого выпаривания</t>
  </si>
  <si>
    <t>т.72 §56</t>
  </si>
  <si>
    <t>Титрометрическое определение хлоридов</t>
  </si>
  <si>
    <t>т.72 §73</t>
  </si>
  <si>
    <t>Определение растворенной формы цинка колориметрическим методом</t>
  </si>
  <si>
    <t>т.72 §75</t>
  </si>
  <si>
    <t>ИТОГО по лабораторным работам</t>
  </si>
  <si>
    <t>КАМЕРАЛЬНЫЕ РАБОТЫ</t>
  </si>
  <si>
    <t>Инженерно-экологическая рекогносцировка при удовлетворительной проходимости, II  сложности</t>
  </si>
  <si>
    <t>Наблюдения при передвижении по маршруту при составлении почвенной карты в масштабе 1:2000-1:1000, удовлетворительная проходимость</t>
  </si>
  <si>
    <t>Описание точек наблюдений при составлении инженерно-экологических карт, II категория сложности</t>
  </si>
  <si>
    <t>Описание точек наблюдений при составлении почвенных карт, I категория сложности</t>
  </si>
  <si>
    <t>Камеральная обработка химических анализов на загрязненность почво­грунтов, воды</t>
  </si>
  <si>
    <t>т.86 §6</t>
  </si>
  <si>
    <t>Составление технического отчета о результатах выполненных работ, стоимость камеральных работ св. 5 до 20 тыс. руб., II категория сложности (18% от стоимости всех камеральных работ)</t>
  </si>
  <si>
    <t>1 отчет</t>
  </si>
  <si>
    <t>т.87 §1</t>
  </si>
  <si>
    <t>ИТОГО по камеральным работам:</t>
  </si>
  <si>
    <t>ИТОГО по всем видам работ в ценах по состоянию на 01.01.1991 г.:</t>
  </si>
  <si>
    <t>Итого с учетом индекса изменения сметной стоимости изыскательских работ для строительства к справочникам базовых цен на инженерные изыскания на 2кв. 2021 г.</t>
  </si>
  <si>
    <t xml:space="preserve"> Письмо Минстроя РФ № 18410-ИФ/09 от 04.05.2021</t>
  </si>
  <si>
    <t>ИТОГО в ценах текущего периода</t>
  </si>
  <si>
    <t>НДС 20 %</t>
  </si>
  <si>
    <t>Смета №5</t>
  </si>
  <si>
    <t xml:space="preserve">Разработка проектной документации </t>
  </si>
  <si>
    <t>7</t>
  </si>
  <si>
    <t>Экологическая экспертиза</t>
  </si>
  <si>
    <t>Индекс дефлирования на 2022 г. (104,8+100)/200</t>
  </si>
  <si>
    <t xml:space="preserve">Составил: </t>
  </si>
  <si>
    <t>Инженер 1 кат.</t>
  </si>
  <si>
    <t>Чижова А.Н.</t>
  </si>
  <si>
    <t>Стоимость инженерно-экологических изысканий</t>
  </si>
  <si>
    <t>СМЕТА №5Инженерно-экологические изыскания</t>
  </si>
  <si>
    <t>Проектирование. Реконструкция ПС-110/35/10 кВ №23 «Луковецкая» в Холмогорском районе Архангельской области с монтажом трансформаторов тока 110 кВ, трансформатора напряжения 110 кВ и дифференциально-фазных защит (Общество с ограниченной ответственностью «Группа компаний «УЛК», дог.№15-00968А/20 от 30.06.2021) (ТН– 1 шт, ТТ – 6 шт, ДФЗ – 2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</si>
</sst>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Book Antiqua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Book Antiqua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Book Antiqua"/>
      <family val="1"/>
      <charset val="204"/>
    </font>
    <font>
      <b/>
      <u/>
      <sz val="10"/>
      <name val="Arial"/>
      <family val="2"/>
      <charset val="204"/>
    </font>
    <font>
      <vertAlign val="subscript"/>
      <sz val="10"/>
      <name val="Arial"/>
      <family val="2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vertAlign val="subscript"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>
      <alignment horizontal="right" vertical="center"/>
    </xf>
    <xf numFmtId="0" fontId="2" fillId="0" borderId="0"/>
    <xf numFmtId="0" fontId="18" fillId="0" borderId="1">
      <alignment horizontal="center" wrapText="1"/>
    </xf>
    <xf numFmtId="0" fontId="18" fillId="0" borderId="0">
      <alignment horizontal="right" vertical="top" wrapText="1"/>
    </xf>
    <xf numFmtId="0" fontId="1" fillId="0" borderId="0"/>
  </cellStyleXfs>
  <cellXfs count="195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3" fillId="0" borderId="0" xfId="0" applyFont="1"/>
    <xf numFmtId="4" fontId="0" fillId="0" borderId="0" xfId="0" applyNumberFormat="1" applyFont="1"/>
    <xf numFmtId="0" fontId="5" fillId="0" borderId="0" xfId="0" applyFont="1" applyBorder="1"/>
    <xf numFmtId="0" fontId="6" fillId="0" borderId="0" xfId="0" applyFont="1"/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horizontal="justify"/>
    </xf>
    <xf numFmtId="4" fontId="5" fillId="0" borderId="0" xfId="0" applyNumberFormat="1" applyFont="1" applyBorder="1"/>
    <xf numFmtId="4" fontId="0" fillId="0" borderId="0" xfId="0" applyNumberFormat="1" applyFont="1" applyAlignment="1">
      <alignment horizontal="center" vertical="center" wrapText="1"/>
    </xf>
    <xf numFmtId="49" fontId="7" fillId="0" borderId="0" xfId="0" applyNumberFormat="1" applyFont="1" applyBorder="1"/>
    <xf numFmtId="49" fontId="6" fillId="0" borderId="0" xfId="0" applyNumberFormat="1" applyFont="1" applyBorder="1"/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ont="1"/>
    <xf numFmtId="49" fontId="10" fillId="0" borderId="2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left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1" fillId="3" borderId="3" xfId="0" applyNumberFormat="1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vertical="center" wrapText="1"/>
    </xf>
    <xf numFmtId="49" fontId="0" fillId="0" borderId="23" xfId="0" applyNumberFormat="1" applyFont="1" applyBorder="1" applyAlignment="1">
      <alignment horizontal="center" vertical="center" wrapText="1"/>
    </xf>
    <xf numFmtId="0" fontId="0" fillId="0" borderId="0" xfId="0" applyFont="1" applyBorder="1"/>
    <xf numFmtId="49" fontId="0" fillId="0" borderId="17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6" fillId="0" borderId="0" xfId="0" applyFont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2" xfId="0" applyFont="1" applyBorder="1" applyAlignment="1">
      <alignment horizontal="justify" vertical="center" wrapText="1"/>
    </xf>
    <xf numFmtId="4" fontId="10" fillId="3" borderId="30" xfId="0" applyNumberFormat="1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9" fontId="11" fillId="2" borderId="19" xfId="0" applyNumberFormat="1" applyFont="1" applyFill="1" applyBorder="1" applyAlignment="1">
      <alignment horizontal="center" vertical="center" wrapText="1"/>
    </xf>
    <xf numFmtId="4" fontId="11" fillId="3" borderId="21" xfId="0" applyNumberFormat="1" applyFont="1" applyFill="1" applyBorder="1" applyAlignment="1">
      <alignment horizontal="center" vertical="center" wrapText="1"/>
    </xf>
    <xf numFmtId="4" fontId="10" fillId="2" borderId="14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justify" vertical="center" wrapText="1"/>
    </xf>
    <xf numFmtId="0" fontId="10" fillId="0" borderId="26" xfId="0" applyFont="1" applyBorder="1" applyAlignment="1">
      <alignment horizontal="center" vertical="center" wrapText="1"/>
    </xf>
    <xf numFmtId="4" fontId="10" fillId="3" borderId="27" xfId="0" applyNumberFormat="1" applyFont="1" applyFill="1" applyBorder="1" applyAlignment="1">
      <alignment horizontal="center" vertical="center" wrapText="1"/>
    </xf>
    <xf numFmtId="4" fontId="11" fillId="3" borderId="30" xfId="0" applyNumberFormat="1" applyFont="1" applyFill="1" applyBorder="1" applyAlignment="1">
      <alignment horizontal="center" vertical="center" wrapText="1"/>
    </xf>
    <xf numFmtId="4" fontId="11" fillId="2" borderId="14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0" borderId="26" xfId="0" applyNumberFormat="1" applyFont="1" applyBorder="1" applyAlignment="1">
      <alignment horizontal="center" vertical="center" wrapText="1"/>
    </xf>
    <xf numFmtId="4" fontId="10" fillId="3" borderId="26" xfId="0" applyNumberFormat="1" applyFont="1" applyFill="1" applyBorder="1" applyAlignment="1">
      <alignment horizontal="center" vertical="center" wrapText="1"/>
    </xf>
    <xf numFmtId="4" fontId="15" fillId="0" borderId="11" xfId="0" applyNumberFormat="1" applyFont="1" applyBorder="1" applyAlignment="1">
      <alignment horizontal="center" vertical="center" wrapText="1"/>
    </xf>
    <xf numFmtId="4" fontId="15" fillId="0" borderId="27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20" fillId="0" borderId="0" xfId="5" applyFont="1"/>
    <xf numFmtId="4" fontId="20" fillId="0" borderId="0" xfId="5" applyNumberFormat="1" applyFont="1"/>
    <xf numFmtId="0" fontId="21" fillId="4" borderId="35" xfId="5" applyFont="1" applyFill="1" applyBorder="1" applyAlignment="1">
      <alignment horizontal="center" vertical="center" wrapText="1"/>
    </xf>
    <xf numFmtId="0" fontId="21" fillId="4" borderId="37" xfId="5" applyFont="1" applyFill="1" applyBorder="1" applyAlignment="1">
      <alignment horizontal="center" vertical="center" wrapText="1"/>
    </xf>
    <xf numFmtId="0" fontId="20" fillId="4" borderId="37" xfId="5" applyFont="1" applyFill="1" applyBorder="1" applyAlignment="1">
      <alignment horizontal="center" vertical="center" wrapText="1"/>
    </xf>
    <xf numFmtId="4" fontId="22" fillId="4" borderId="36" xfId="5" applyNumberFormat="1" applyFont="1" applyFill="1" applyBorder="1" applyAlignment="1">
      <alignment horizontal="center" vertical="center" wrapText="1"/>
    </xf>
    <xf numFmtId="0" fontId="23" fillId="0" borderId="0" xfId="5" applyFont="1"/>
    <xf numFmtId="4" fontId="21" fillId="4" borderId="36" xfId="5" applyNumberFormat="1" applyFont="1" applyFill="1" applyBorder="1" applyAlignment="1">
      <alignment horizontal="center" vertical="center" wrapText="1"/>
    </xf>
    <xf numFmtId="0" fontId="21" fillId="4" borderId="43" xfId="5" applyFont="1" applyFill="1" applyBorder="1" applyAlignment="1">
      <alignment horizontal="center" vertical="center" wrapText="1"/>
    </xf>
    <xf numFmtId="4" fontId="21" fillId="4" borderId="35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4" fontId="21" fillId="4" borderId="44" xfId="5" applyNumberFormat="1" applyFont="1" applyFill="1" applyBorder="1" applyAlignment="1">
      <alignment horizontal="center" vertical="center" wrapText="1"/>
    </xf>
    <xf numFmtId="4" fontId="21" fillId="4" borderId="39" xfId="5" applyNumberFormat="1" applyFont="1" applyFill="1" applyBorder="1" applyAlignment="1">
      <alignment horizontal="center" vertical="center" wrapText="1"/>
    </xf>
    <xf numFmtId="3" fontId="21" fillId="4" borderId="35" xfId="5" applyNumberFormat="1" applyFont="1" applyFill="1" applyBorder="1" applyAlignment="1">
      <alignment horizontal="center" vertical="center" wrapText="1"/>
    </xf>
    <xf numFmtId="4" fontId="22" fillId="4" borderId="44" xfId="5" applyNumberFormat="1" applyFont="1" applyFill="1" applyBorder="1" applyAlignment="1">
      <alignment horizontal="center" vertical="center" wrapText="1"/>
    </xf>
    <xf numFmtId="4" fontId="23" fillId="0" borderId="0" xfId="5" applyNumberFormat="1" applyFont="1"/>
    <xf numFmtId="0" fontId="10" fillId="2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right"/>
    </xf>
    <xf numFmtId="0" fontId="11" fillId="2" borderId="1" xfId="0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5" fillId="0" borderId="31" xfId="0" applyFont="1" applyBorder="1" applyAlignment="1">
      <alignment horizontal="left" vertical="center" wrapText="1"/>
    </xf>
    <xf numFmtId="0" fontId="15" fillId="0" borderId="32" xfId="0" applyFont="1" applyBorder="1" applyAlignment="1">
      <alignment horizontal="left" vertical="center" wrapText="1"/>
    </xf>
    <xf numFmtId="0" fontId="11" fillId="0" borderId="18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justify" vertical="center" wrapText="1"/>
    </xf>
    <xf numFmtId="0" fontId="15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horizontal="left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left" vertical="center" wrapText="1"/>
    </xf>
    <xf numFmtId="0" fontId="15" fillId="0" borderId="25" xfId="0" applyFont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quotePrefix="1" applyFont="1" applyFill="1" applyBorder="1" applyAlignment="1">
      <alignment horizontal="left" vertical="center" wrapText="1"/>
    </xf>
    <xf numFmtId="0" fontId="10" fillId="2" borderId="13" xfId="0" quotePrefix="1" applyFont="1" applyFill="1" applyBorder="1" applyAlignment="1">
      <alignment horizontal="left" vertical="center" wrapText="1"/>
    </xf>
    <xf numFmtId="0" fontId="10" fillId="2" borderId="18" xfId="0" quotePrefix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1" fillId="3" borderId="20" xfId="0" applyFont="1" applyFill="1" applyBorder="1" applyAlignment="1">
      <alignment horizontal="left" vertical="center" wrapText="1"/>
    </xf>
    <xf numFmtId="49" fontId="11" fillId="2" borderId="7" xfId="0" applyNumberFormat="1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center" wrapText="1"/>
    </xf>
    <xf numFmtId="49" fontId="11" fillId="2" borderId="17" xfId="0" applyNumberFormat="1" applyFont="1" applyFill="1" applyBorder="1" applyAlignment="1">
      <alignment horizontal="center" vertical="center" wrapText="1"/>
    </xf>
    <xf numFmtId="49" fontId="10" fillId="0" borderId="2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49" fontId="11" fillId="2" borderId="33" xfId="0" applyNumberFormat="1" applyFont="1" applyFill="1" applyBorder="1" applyAlignment="1">
      <alignment horizontal="center" vertical="center" wrapText="1"/>
    </xf>
    <xf numFmtId="49" fontId="11" fillId="2" borderId="34" xfId="0" applyNumberFormat="1" applyFont="1" applyFill="1" applyBorder="1" applyAlignment="1">
      <alignment horizontal="center" vertical="center" wrapText="1"/>
    </xf>
    <xf numFmtId="49" fontId="10" fillId="0" borderId="23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left" vertical="center" wrapText="1"/>
    </xf>
    <xf numFmtId="0" fontId="20" fillId="0" borderId="0" xfId="5" applyFont="1" applyAlignment="1">
      <alignment horizontal="center" wrapText="1"/>
    </xf>
    <xf numFmtId="0" fontId="5" fillId="0" borderId="0" xfId="0" applyFont="1" applyBorder="1"/>
    <xf numFmtId="0" fontId="21" fillId="4" borderId="36" xfId="5" applyFont="1" applyFill="1" applyBorder="1" applyAlignment="1">
      <alignment horizontal="center" vertical="center" wrapText="1"/>
    </xf>
    <xf numFmtId="0" fontId="21" fillId="4" borderId="38" xfId="5" applyFont="1" applyFill="1" applyBorder="1" applyAlignment="1">
      <alignment horizontal="center" vertical="center" wrapText="1"/>
    </xf>
    <xf numFmtId="4" fontId="21" fillId="4" borderId="36" xfId="5" applyNumberFormat="1" applyFont="1" applyFill="1" applyBorder="1" applyAlignment="1">
      <alignment horizontal="center" vertical="center" wrapText="1"/>
    </xf>
    <xf numFmtId="4" fontId="21" fillId="4" borderId="38" xfId="5" applyNumberFormat="1" applyFont="1" applyFill="1" applyBorder="1" applyAlignment="1">
      <alignment horizontal="center" vertical="center" wrapText="1"/>
    </xf>
    <xf numFmtId="0" fontId="22" fillId="4" borderId="39" xfId="5" applyFont="1" applyFill="1" applyBorder="1" applyAlignment="1">
      <alignment horizontal="center" vertical="center" wrapText="1"/>
    </xf>
    <xf numFmtId="0" fontId="22" fillId="4" borderId="40" xfId="5" applyFont="1" applyFill="1" applyBorder="1" applyAlignment="1">
      <alignment horizontal="center" vertical="center" wrapText="1"/>
    </xf>
    <xf numFmtId="0" fontId="22" fillId="4" borderId="41" xfId="5" applyFont="1" applyFill="1" applyBorder="1" applyAlignment="1">
      <alignment horizontal="center" vertical="center" wrapText="1"/>
    </xf>
    <xf numFmtId="0" fontId="21" fillId="4" borderId="42" xfId="5" applyFont="1" applyFill="1" applyBorder="1" applyAlignment="1">
      <alignment horizontal="center" vertical="center" wrapText="1"/>
    </xf>
    <xf numFmtId="4" fontId="21" fillId="4" borderId="42" xfId="5" applyNumberFormat="1" applyFont="1" applyFill="1" applyBorder="1" applyAlignment="1">
      <alignment horizontal="center" vertical="center" wrapText="1"/>
    </xf>
    <xf numFmtId="3" fontId="21" fillId="4" borderId="36" xfId="5" applyNumberFormat="1" applyFont="1" applyFill="1" applyBorder="1" applyAlignment="1">
      <alignment horizontal="center" vertical="center" wrapText="1"/>
    </xf>
    <xf numFmtId="3" fontId="21" fillId="4" borderId="38" xfId="5" applyNumberFormat="1" applyFont="1" applyFill="1" applyBorder="1" applyAlignment="1">
      <alignment horizontal="center" vertical="center" wrapText="1"/>
    </xf>
    <xf numFmtId="0" fontId="21" fillId="4" borderId="39" xfId="5" applyFont="1" applyFill="1" applyBorder="1" applyAlignment="1">
      <alignment horizontal="center" vertical="center" wrapText="1"/>
    </xf>
    <xf numFmtId="0" fontId="21" fillId="4" borderId="40" xfId="5" applyFont="1" applyFill="1" applyBorder="1" applyAlignment="1">
      <alignment horizontal="center" vertical="center" wrapText="1"/>
    </xf>
    <xf numFmtId="0" fontId="21" fillId="4" borderId="41" xfId="5" applyFont="1" applyFill="1" applyBorder="1" applyAlignment="1">
      <alignment horizontal="center" vertical="center" wrapText="1"/>
    </xf>
    <xf numFmtId="4" fontId="22" fillId="4" borderId="39" xfId="5" applyNumberFormat="1" applyFont="1" applyFill="1" applyBorder="1" applyAlignment="1">
      <alignment horizontal="center" vertical="center" wrapText="1"/>
    </xf>
    <xf numFmtId="4" fontId="22" fillId="4" borderId="40" xfId="5" applyNumberFormat="1" applyFont="1" applyFill="1" applyBorder="1" applyAlignment="1">
      <alignment horizontal="center" vertical="center" wrapText="1"/>
    </xf>
    <xf numFmtId="4" fontId="22" fillId="4" borderId="41" xfId="5" applyNumberFormat="1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justify" vertical="center" wrapText="1"/>
    </xf>
  </cellXfs>
  <cellStyles count="6">
    <cellStyle name="S2 2" xfId="1"/>
    <cellStyle name="Итоги" xfId="4"/>
    <cellStyle name="ЛокСмета" xfId="3"/>
    <cellStyle name="Обычный" xfId="0" builtinId="0"/>
    <cellStyle name="Обычный 2" xfId="2"/>
    <cellStyle name="Обычный 2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476250</xdr:colOff>
      <xdr:row>19</xdr:row>
      <xdr:rowOff>85725</xdr:rowOff>
    </xdr:from>
    <xdr:to>
      <xdr:col>5</xdr:col>
      <xdr:colOff>327660</xdr:colOff>
      <xdr:row>20</xdr:row>
      <xdr:rowOff>95250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7315200"/>
          <a:ext cx="98488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3"/>
  <sheetViews>
    <sheetView view="pageBreakPreview" zoomScaleSheetLayoutView="100" workbookViewId="0">
      <selection activeCell="C5" sqref="C5"/>
    </sheetView>
  </sheetViews>
  <sheetFormatPr defaultColWidth="9.140625" defaultRowHeight="12.75" x14ac:dyDescent="0.2"/>
  <cols>
    <col min="1" max="1" width="2.28515625" style="1" customWidth="1"/>
    <col min="2" max="2" width="5" style="14" customWidth="1"/>
    <col min="3" max="3" width="45.42578125" style="1" customWidth="1"/>
    <col min="4" max="4" width="15.42578125" style="1" customWidth="1"/>
    <col min="5" max="5" width="17" style="1" customWidth="1"/>
    <col min="6" max="8" width="15.85546875" style="4" customWidth="1"/>
    <col min="9" max="9" width="16.42578125" style="1" customWidth="1"/>
    <col min="10" max="10" width="12" style="1" customWidth="1"/>
    <col min="11" max="11" width="13.28515625" style="1" customWidth="1"/>
    <col min="12" max="12" width="11.7109375" style="1" bestFit="1" customWidth="1"/>
    <col min="13" max="16384" width="9.140625" style="1"/>
  </cols>
  <sheetData>
    <row r="1" spans="2:11" ht="12.75" customHeight="1" x14ac:dyDescent="0.2">
      <c r="B1" s="122" t="s">
        <v>310</v>
      </c>
      <c r="C1" s="122"/>
      <c r="D1" s="122"/>
      <c r="E1" s="122"/>
      <c r="F1" s="122"/>
      <c r="G1" s="122"/>
      <c r="H1" s="122"/>
    </row>
    <row r="2" spans="2:11" s="3" customFormat="1" ht="21" customHeight="1" x14ac:dyDescent="0.25">
      <c r="B2" s="122"/>
      <c r="C2" s="122"/>
      <c r="D2" s="122"/>
      <c r="E2" s="122"/>
      <c r="F2" s="122"/>
      <c r="G2" s="122"/>
      <c r="H2" s="122"/>
      <c r="I2" s="1"/>
    </row>
    <row r="3" spans="2:11" s="3" customFormat="1" ht="29.25" customHeight="1" x14ac:dyDescent="0.25">
      <c r="B3" s="122"/>
      <c r="C3" s="122"/>
      <c r="D3" s="122"/>
      <c r="E3" s="122"/>
      <c r="F3" s="122"/>
      <c r="G3" s="122"/>
      <c r="H3" s="122"/>
      <c r="I3" s="1"/>
    </row>
    <row r="4" spans="2:11" s="3" customFormat="1" ht="26.25" customHeight="1" x14ac:dyDescent="0.25">
      <c r="B4" s="123" t="s">
        <v>26</v>
      </c>
      <c r="C4" s="123"/>
      <c r="D4" s="123"/>
      <c r="E4" s="123"/>
      <c r="F4" s="123"/>
      <c r="G4" s="36"/>
      <c r="H4" s="36"/>
      <c r="I4" s="1"/>
    </row>
    <row r="5" spans="2:11" s="45" customFormat="1" ht="25.5" customHeight="1" x14ac:dyDescent="0.2">
      <c r="B5" s="46"/>
      <c r="C5" s="47" t="s">
        <v>27</v>
      </c>
      <c r="D5" s="47"/>
      <c r="E5" s="47"/>
      <c r="F5" s="48"/>
      <c r="G5" s="49"/>
      <c r="H5" s="49"/>
      <c r="I5" s="49"/>
      <c r="J5" s="49"/>
      <c r="K5" s="49"/>
    </row>
    <row r="6" spans="2:11" s="3" customFormat="1" ht="24" customHeight="1" x14ac:dyDescent="0.25">
      <c r="B6" s="12"/>
      <c r="C6" s="5" t="s">
        <v>80</v>
      </c>
      <c r="D6" s="5"/>
      <c r="E6" s="5"/>
      <c r="F6" s="9"/>
      <c r="G6" s="9"/>
      <c r="H6" s="9"/>
      <c r="I6" s="4"/>
    </row>
    <row r="7" spans="2:11" s="3" customFormat="1" ht="24" customHeight="1" x14ac:dyDescent="0.25">
      <c r="B7" s="12"/>
      <c r="C7" s="5"/>
      <c r="D7" s="5"/>
      <c r="E7" s="5"/>
      <c r="F7" s="9"/>
      <c r="G7" s="9"/>
      <c r="H7" s="9"/>
      <c r="I7" s="4"/>
    </row>
    <row r="8" spans="2:11" s="3" customFormat="1" ht="15" customHeight="1" x14ac:dyDescent="0.25">
      <c r="B8" s="124" t="s">
        <v>0</v>
      </c>
      <c r="C8" s="125" t="s">
        <v>1</v>
      </c>
      <c r="D8" s="125" t="s">
        <v>2</v>
      </c>
      <c r="E8" s="126" t="s">
        <v>3</v>
      </c>
      <c r="F8" s="127" t="s">
        <v>19</v>
      </c>
      <c r="G8" s="127" t="s">
        <v>20</v>
      </c>
      <c r="H8" s="127" t="s">
        <v>21</v>
      </c>
      <c r="I8" s="4"/>
    </row>
    <row r="9" spans="2:11" ht="28.5" customHeight="1" x14ac:dyDescent="0.2">
      <c r="B9" s="124"/>
      <c r="C9" s="125"/>
      <c r="D9" s="125"/>
      <c r="E9" s="126"/>
      <c r="F9" s="127"/>
      <c r="G9" s="127"/>
      <c r="H9" s="127"/>
    </row>
    <row r="10" spans="2:11" ht="47.25" customHeight="1" x14ac:dyDescent="0.2">
      <c r="B10" s="50" t="s">
        <v>7</v>
      </c>
      <c r="C10" s="99" t="s">
        <v>8</v>
      </c>
      <c r="D10" s="18" t="s">
        <v>4</v>
      </c>
      <c r="E10" s="37" t="s">
        <v>5</v>
      </c>
      <c r="F10" s="19">
        <f>'Предпроект '!F20</f>
        <v>123429.22499999999</v>
      </c>
      <c r="G10" s="19">
        <f t="shared" ref="G10:G15" si="0">F10*0.2</f>
        <v>24685.845000000001</v>
      </c>
      <c r="H10" s="19">
        <f>F10+G10</f>
        <v>148115.07</v>
      </c>
      <c r="I10" s="4"/>
    </row>
    <row r="11" spans="2:11" ht="31.5" customHeight="1" x14ac:dyDescent="0.2">
      <c r="B11" s="50" t="s">
        <v>9</v>
      </c>
      <c r="C11" s="99" t="s">
        <v>134</v>
      </c>
      <c r="D11" s="18" t="s">
        <v>4</v>
      </c>
      <c r="E11" s="37" t="s">
        <v>6</v>
      </c>
      <c r="F11" s="19">
        <f>Геодезия!F16</f>
        <v>7121.8962882259202</v>
      </c>
      <c r="G11" s="19">
        <f t="shared" si="0"/>
        <v>1424.3792576451842</v>
      </c>
      <c r="H11" s="19">
        <f t="shared" ref="H11:H15" si="1">F11+G11</f>
        <v>8546.2755458711035</v>
      </c>
    </row>
    <row r="12" spans="2:11" ht="31.5" customHeight="1" x14ac:dyDescent="0.2">
      <c r="B12" s="50" t="s">
        <v>18</v>
      </c>
      <c r="C12" s="99" t="s">
        <v>135</v>
      </c>
      <c r="D12" s="18" t="s">
        <v>4</v>
      </c>
      <c r="E12" s="37" t="s">
        <v>136</v>
      </c>
      <c r="F12" s="19">
        <f>Геология!F41</f>
        <v>5809</v>
      </c>
      <c r="G12" s="19">
        <f t="shared" si="0"/>
        <v>1161.8</v>
      </c>
      <c r="H12" s="19">
        <f t="shared" si="1"/>
        <v>6970.8</v>
      </c>
    </row>
    <row r="13" spans="2:11" ht="31.5" customHeight="1" x14ac:dyDescent="0.2">
      <c r="B13" s="50" t="s">
        <v>59</v>
      </c>
      <c r="C13" s="99" t="s">
        <v>301</v>
      </c>
      <c r="D13" s="18" t="s">
        <v>4</v>
      </c>
      <c r="E13" s="37" t="s">
        <v>137</v>
      </c>
      <c r="F13" s="19">
        <f>Проект!F30</f>
        <v>1113035.5259999998</v>
      </c>
      <c r="G13" s="19">
        <f t="shared" si="0"/>
        <v>222607.10519999999</v>
      </c>
      <c r="H13" s="19">
        <f t="shared" si="1"/>
        <v>1335642.6311999997</v>
      </c>
    </row>
    <row r="14" spans="2:11" ht="31.5" customHeight="1" x14ac:dyDescent="0.2">
      <c r="B14" s="50" t="s">
        <v>126</v>
      </c>
      <c r="C14" s="99" t="s">
        <v>308</v>
      </c>
      <c r="D14" s="18" t="s">
        <v>4</v>
      </c>
      <c r="E14" s="37" t="s">
        <v>300</v>
      </c>
      <c r="F14" s="19">
        <f>Экология!H104</f>
        <v>110722.51312150001</v>
      </c>
      <c r="G14" s="19">
        <f t="shared" si="0"/>
        <v>22144.502624300003</v>
      </c>
      <c r="H14" s="19">
        <f t="shared" si="1"/>
        <v>132867.01574580002</v>
      </c>
    </row>
    <row r="15" spans="2:11" x14ac:dyDescent="0.2">
      <c r="B15" s="50" t="s">
        <v>128</v>
      </c>
      <c r="C15" s="116" t="s">
        <v>303</v>
      </c>
      <c r="D15" s="18" t="s">
        <v>4</v>
      </c>
      <c r="E15" s="37"/>
      <c r="F15" s="19">
        <v>160000</v>
      </c>
      <c r="G15" s="19">
        <f t="shared" si="0"/>
        <v>32000</v>
      </c>
      <c r="H15" s="19">
        <f t="shared" si="1"/>
        <v>192000</v>
      </c>
    </row>
    <row r="16" spans="2:11" ht="36.75" customHeight="1" x14ac:dyDescent="0.2">
      <c r="B16" s="50" t="s">
        <v>302</v>
      </c>
      <c r="C16" s="78" t="s">
        <v>304</v>
      </c>
      <c r="D16" s="78"/>
      <c r="E16" s="37" t="s">
        <v>81</v>
      </c>
      <c r="F16" s="19">
        <f>SUM(F9:F15)*0.024</f>
        <v>36482.83584983342</v>
      </c>
      <c r="G16" s="19">
        <f>F16*0.2</f>
        <v>7296.5671699666846</v>
      </c>
      <c r="H16" s="19">
        <f>F16+G16</f>
        <v>43779.403019800106</v>
      </c>
    </row>
    <row r="17" spans="2:8" ht="21.75" customHeight="1" x14ac:dyDescent="0.2">
      <c r="B17" s="50"/>
      <c r="C17" s="119" t="s">
        <v>25</v>
      </c>
      <c r="D17" s="119"/>
      <c r="E17" s="37"/>
      <c r="F17" s="19">
        <f>SUM(F10:F16)</f>
        <v>1556600.9962595592</v>
      </c>
      <c r="G17" s="19">
        <f>F17*0.2</f>
        <v>311320.19925191184</v>
      </c>
      <c r="H17" s="19">
        <f>F17+G17</f>
        <v>1867921.195511471</v>
      </c>
    </row>
    <row r="18" spans="2:8" x14ac:dyDescent="0.2">
      <c r="B18" s="13"/>
      <c r="C18" s="2"/>
      <c r="D18" s="7"/>
      <c r="E18" s="2"/>
      <c r="F18" s="10"/>
      <c r="G18" s="10"/>
      <c r="H18" s="10"/>
    </row>
    <row r="19" spans="2:8" ht="19.5" customHeight="1" x14ac:dyDescent="0.25">
      <c r="B19" s="1"/>
      <c r="D19" s="120"/>
      <c r="E19" s="120"/>
      <c r="F19" s="120"/>
      <c r="G19" s="61"/>
      <c r="H19" s="61"/>
    </row>
    <row r="20" spans="2:8" s="40" customFormat="1" ht="32.25" customHeight="1" x14ac:dyDescent="0.2">
      <c r="B20" s="128" t="s">
        <v>305</v>
      </c>
      <c r="C20" s="128"/>
      <c r="D20" s="42" t="s">
        <v>306</v>
      </c>
      <c r="E20" s="43"/>
      <c r="F20" s="44"/>
      <c r="G20" s="40" t="s">
        <v>307</v>
      </c>
    </row>
    <row r="21" spans="2:8" ht="13.5" customHeight="1" x14ac:dyDescent="0.25">
      <c r="B21" s="1"/>
      <c r="C21" s="17"/>
      <c r="D21" s="121"/>
      <c r="E21" s="121"/>
      <c r="F21" s="121"/>
      <c r="G21" s="117"/>
      <c r="H21" s="117"/>
    </row>
    <row r="22" spans="2:8" x14ac:dyDescent="0.2">
      <c r="B22" s="118"/>
      <c r="C22" s="118"/>
      <c r="D22" s="8"/>
    </row>
    <row r="23" spans="2:8" x14ac:dyDescent="0.2">
      <c r="D23" s="8"/>
    </row>
  </sheetData>
  <mergeCells count="14">
    <mergeCell ref="B22:C22"/>
    <mergeCell ref="C17:D17"/>
    <mergeCell ref="D19:F19"/>
    <mergeCell ref="D21:F21"/>
    <mergeCell ref="B1:H3"/>
    <mergeCell ref="B4:F4"/>
    <mergeCell ref="B8:B9"/>
    <mergeCell ref="C8:C9"/>
    <mergeCell ref="D8:D9"/>
    <mergeCell ref="E8:E9"/>
    <mergeCell ref="F8:F9"/>
    <mergeCell ref="G8:G9"/>
    <mergeCell ref="H8:H9"/>
    <mergeCell ref="B20:C20"/>
  </mergeCells>
  <pageMargins left="0.47244094488188981" right="0.23622047244094491" top="0.51181102362204722" bottom="0.74803149606299213" header="0.31496062992125984" footer="0.31496062992125984"/>
  <pageSetup paperSize="9" scale="74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2" t="s">
        <v>310</v>
      </c>
      <c r="C2" s="122"/>
      <c r="D2" s="122"/>
      <c r="E2" s="122"/>
      <c r="F2" s="122"/>
    </row>
    <row r="3" spans="2:11" s="3" customFormat="1" ht="13.5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51.75" customHeight="1" x14ac:dyDescent="0.25">
      <c r="B4" s="122"/>
      <c r="C4" s="122"/>
      <c r="D4" s="122"/>
      <c r="E4" s="122"/>
      <c r="F4" s="122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22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27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83</v>
      </c>
      <c r="D8" s="5"/>
      <c r="E8" s="5"/>
      <c r="F8" s="9"/>
      <c r="G8" s="9"/>
      <c r="H8" s="9"/>
      <c r="I8" s="4"/>
    </row>
    <row r="9" spans="2:11" ht="64.5" thickBot="1" x14ac:dyDescent="0.25">
      <c r="B9" s="15" t="s">
        <v>0</v>
      </c>
      <c r="C9" s="60" t="s">
        <v>10</v>
      </c>
      <c r="D9" s="60" t="s">
        <v>11</v>
      </c>
      <c r="E9" s="60" t="s">
        <v>12</v>
      </c>
      <c r="F9" s="16" t="s">
        <v>62</v>
      </c>
    </row>
    <row r="10" spans="2:11" ht="26.25" customHeight="1" thickBot="1" x14ac:dyDescent="0.25">
      <c r="B10" s="24">
        <v>1</v>
      </c>
      <c r="C10" s="133" t="s">
        <v>55</v>
      </c>
      <c r="D10" s="134"/>
      <c r="E10" s="134"/>
      <c r="F10" s="25">
        <f>SUM(F13:F16)</f>
        <v>3511.5</v>
      </c>
    </row>
    <row r="11" spans="2:11" x14ac:dyDescent="0.2">
      <c r="B11" s="135" t="s">
        <v>13</v>
      </c>
      <c r="C11" s="137" t="s">
        <v>14</v>
      </c>
      <c r="D11" s="139" t="s">
        <v>46</v>
      </c>
      <c r="E11" s="140"/>
      <c r="F11" s="26"/>
    </row>
    <row r="12" spans="2:11" x14ac:dyDescent="0.2">
      <c r="B12" s="136"/>
      <c r="C12" s="138"/>
      <c r="D12" s="58" t="s">
        <v>69</v>
      </c>
      <c r="E12" s="59"/>
      <c r="F12" s="26"/>
    </row>
    <row r="13" spans="2:11" ht="15.75" x14ac:dyDescent="0.2">
      <c r="B13" s="136"/>
      <c r="C13" s="138"/>
      <c r="D13" s="27" t="s">
        <v>47</v>
      </c>
      <c r="E13" s="53" t="s">
        <v>48</v>
      </c>
      <c r="F13" s="28">
        <f>604*1.5</f>
        <v>906</v>
      </c>
    </row>
    <row r="14" spans="2:11" ht="41.25" x14ac:dyDescent="0.2">
      <c r="B14" s="136"/>
      <c r="C14" s="138"/>
      <c r="D14" s="27" t="s">
        <v>51</v>
      </c>
      <c r="E14" s="53" t="s">
        <v>49</v>
      </c>
      <c r="F14" s="28">
        <f>952*1.5</f>
        <v>1428</v>
      </c>
    </row>
    <row r="15" spans="2:11" ht="28.5" x14ac:dyDescent="0.2">
      <c r="B15" s="136"/>
      <c r="C15" s="138"/>
      <c r="D15" s="27" t="s">
        <v>52</v>
      </c>
      <c r="E15" s="53" t="s">
        <v>50</v>
      </c>
      <c r="F15" s="28">
        <f>608*1.5</f>
        <v>912</v>
      </c>
    </row>
    <row r="16" spans="2:11" ht="41.25" x14ac:dyDescent="0.2">
      <c r="B16" s="56"/>
      <c r="C16" s="57"/>
      <c r="D16" s="27" t="s">
        <v>53</v>
      </c>
      <c r="E16" s="53" t="s">
        <v>54</v>
      </c>
      <c r="F16" s="28">
        <f>177*1.5</f>
        <v>265.5</v>
      </c>
    </row>
    <row r="17" spans="2:7" ht="30" customHeight="1" thickBot="1" x14ac:dyDescent="0.25">
      <c r="B17" s="54"/>
      <c r="C17" s="132" t="s">
        <v>56</v>
      </c>
      <c r="D17" s="132"/>
      <c r="E17" s="132"/>
      <c r="F17" s="65">
        <f>F10</f>
        <v>3511.5</v>
      </c>
    </row>
    <row r="18" spans="2:7" ht="38.25" customHeight="1" thickBot="1" x14ac:dyDescent="0.25">
      <c r="B18" s="75"/>
      <c r="C18" s="129" t="s">
        <v>78</v>
      </c>
      <c r="D18" s="130"/>
      <c r="E18" s="76">
        <v>35.15</v>
      </c>
      <c r="F18" s="77"/>
    </row>
    <row r="19" spans="2:7" ht="30" customHeight="1" thickBot="1" x14ac:dyDescent="0.25">
      <c r="B19" s="73"/>
      <c r="C19" s="131" t="s">
        <v>79</v>
      </c>
      <c r="D19" s="131"/>
      <c r="E19" s="131"/>
      <c r="F19" s="74">
        <f>F17*E18</f>
        <v>123429.22499999999</v>
      </c>
    </row>
    <row r="20" spans="2:7" ht="19.5" customHeight="1" x14ac:dyDescent="0.2">
      <c r="B20" s="29"/>
      <c r="C20" s="141" t="s">
        <v>24</v>
      </c>
      <c r="D20" s="142"/>
      <c r="E20" s="30"/>
      <c r="F20" s="31">
        <f>F19</f>
        <v>123429.22499999999</v>
      </c>
    </row>
    <row r="21" spans="2:7" ht="15.75" x14ac:dyDescent="0.2">
      <c r="B21" s="32"/>
      <c r="C21" s="143" t="s">
        <v>17</v>
      </c>
      <c r="D21" s="144"/>
      <c r="E21" s="38"/>
      <c r="F21" s="51">
        <f>F20*0.2</f>
        <v>24685.845000000001</v>
      </c>
    </row>
    <row r="22" spans="2:7" ht="16.5" thickBot="1" x14ac:dyDescent="0.25">
      <c r="B22" s="33"/>
      <c r="C22" s="145" t="s">
        <v>16</v>
      </c>
      <c r="D22" s="146"/>
      <c r="E22" s="39"/>
      <c r="F22" s="52">
        <f>F20+F21</f>
        <v>148115.07</v>
      </c>
    </row>
    <row r="23" spans="2:7" x14ac:dyDescent="0.2">
      <c r="B23" s="13"/>
      <c r="C23" s="2"/>
      <c r="D23" s="7"/>
      <c r="E23" s="2"/>
      <c r="F23" s="10"/>
    </row>
    <row r="24" spans="2:7" ht="14.25" customHeight="1" x14ac:dyDescent="0.25">
      <c r="B24" s="1"/>
      <c r="D24" s="120"/>
      <c r="E24" s="120"/>
      <c r="F24" s="34"/>
    </row>
    <row r="25" spans="2:7" s="40" customFormat="1" ht="32.25" customHeight="1" x14ac:dyDescent="0.2">
      <c r="B25" s="40" t="s">
        <v>23</v>
      </c>
      <c r="C25" s="41"/>
      <c r="D25" s="42"/>
      <c r="E25" s="43"/>
      <c r="F25" s="44"/>
      <c r="G25" s="44"/>
    </row>
    <row r="26" spans="2:7" ht="13.5" customHeight="1" x14ac:dyDescent="0.25">
      <c r="B26" s="1"/>
      <c r="C26" s="17"/>
      <c r="D26" s="121"/>
      <c r="E26" s="121"/>
      <c r="F26" s="1"/>
    </row>
    <row r="27" spans="2:7" x14ac:dyDescent="0.2">
      <c r="D27" s="8"/>
    </row>
    <row r="28" spans="2:7" x14ac:dyDescent="0.2">
      <c r="D28" s="8"/>
    </row>
  </sheetData>
  <mergeCells count="13">
    <mergeCell ref="C20:D20"/>
    <mergeCell ref="C21:D21"/>
    <mergeCell ref="C22:D22"/>
    <mergeCell ref="D24:E24"/>
    <mergeCell ref="D26:E26"/>
    <mergeCell ref="C18:D18"/>
    <mergeCell ref="C19:E19"/>
    <mergeCell ref="C17:E17"/>
    <mergeCell ref="B2:F4"/>
    <mergeCell ref="C10:E10"/>
    <mergeCell ref="B11:B15"/>
    <mergeCell ref="C11:C15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  <rowBreaks count="1" manualBreakCount="1">
    <brk id="1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view="pageBreakPreview" zoomScale="95" zoomScaleSheetLayoutView="95" workbookViewId="0">
      <selection activeCell="B1" sqref="B1:F3"/>
    </sheetView>
  </sheetViews>
  <sheetFormatPr defaultColWidth="9.140625" defaultRowHeight="12.75" x14ac:dyDescent="0.2"/>
  <cols>
    <col min="1" max="1" width="3.140625" style="1" customWidth="1"/>
    <col min="2" max="2" width="7.4257812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2.75" customHeight="1" x14ac:dyDescent="0.2">
      <c r="B1" s="122" t="s">
        <v>310</v>
      </c>
      <c r="C1" s="122"/>
      <c r="D1" s="122"/>
      <c r="E1" s="122"/>
      <c r="F1" s="122"/>
    </row>
    <row r="2" spans="2:11" s="3" customFormat="1" ht="19.5" customHeight="1" x14ac:dyDescent="0.25">
      <c r="B2" s="122"/>
      <c r="C2" s="122"/>
      <c r="D2" s="122"/>
      <c r="E2" s="122"/>
      <c r="F2" s="122"/>
      <c r="G2" s="1"/>
      <c r="H2" s="1"/>
      <c r="I2" s="1"/>
      <c r="J2" s="1"/>
      <c r="K2" s="1"/>
    </row>
    <row r="3" spans="2:11" s="3" customFormat="1" ht="13.5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68" t="s">
        <v>84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Свод!C5</f>
        <v>Номер ИП: L_009-11-1-03.13-2553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83</v>
      </c>
      <c r="D7" s="5"/>
      <c r="E7" s="5"/>
      <c r="F7" s="9"/>
      <c r="G7" s="9"/>
      <c r="H7" s="9"/>
      <c r="I7" s="4"/>
    </row>
    <row r="8" spans="2:11" ht="63.75" x14ac:dyDescent="0.2">
      <c r="B8" s="15" t="s">
        <v>0</v>
      </c>
      <c r="C8" s="60" t="s">
        <v>10</v>
      </c>
      <c r="D8" s="60" t="s">
        <v>85</v>
      </c>
      <c r="E8" s="60" t="s">
        <v>12</v>
      </c>
      <c r="F8" s="16" t="s">
        <v>62</v>
      </c>
    </row>
    <row r="9" spans="2:11" ht="35.25" customHeight="1" x14ac:dyDescent="0.2">
      <c r="B9" s="147" t="s">
        <v>13</v>
      </c>
      <c r="C9" s="148" t="s">
        <v>86</v>
      </c>
      <c r="D9" s="148"/>
      <c r="E9" s="148"/>
      <c r="F9" s="79">
        <f>0.2 * 4632 * 1.1125*1.28*1.0875*1.005*1.06</f>
        <v>1528.3039245120001</v>
      </c>
    </row>
    <row r="10" spans="2:11" ht="30.75" customHeight="1" x14ac:dyDescent="0.2">
      <c r="B10" s="147"/>
      <c r="C10" s="149" t="s">
        <v>87</v>
      </c>
      <c r="D10" s="150" t="s">
        <v>88</v>
      </c>
      <c r="E10" s="153" t="s">
        <v>89</v>
      </c>
      <c r="F10" s="80"/>
    </row>
    <row r="11" spans="2:11" ht="46.5" customHeight="1" x14ac:dyDescent="0.2">
      <c r="B11" s="147"/>
      <c r="C11" s="149"/>
      <c r="D11" s="151"/>
      <c r="E11" s="154"/>
      <c r="F11" s="80"/>
    </row>
    <row r="12" spans="2:11" ht="104.25" customHeight="1" x14ac:dyDescent="0.2">
      <c r="B12" s="147"/>
      <c r="C12" s="149"/>
      <c r="D12" s="152"/>
      <c r="E12" s="155"/>
      <c r="F12" s="80"/>
    </row>
    <row r="13" spans="2:11" ht="30" customHeight="1" x14ac:dyDescent="0.2">
      <c r="B13" s="69"/>
      <c r="C13" s="132" t="s">
        <v>45</v>
      </c>
      <c r="D13" s="132"/>
      <c r="E13" s="132"/>
      <c r="F13" s="65">
        <f>F9</f>
        <v>1528.3039245120001</v>
      </c>
    </row>
    <row r="14" spans="2:11" ht="40.5" customHeight="1" x14ac:dyDescent="0.2">
      <c r="B14" s="69"/>
      <c r="C14" s="156" t="s">
        <v>82</v>
      </c>
      <c r="D14" s="156"/>
      <c r="E14" s="70">
        <v>4.66</v>
      </c>
      <c r="F14" s="66"/>
    </row>
    <row r="15" spans="2:11" ht="30" customHeight="1" x14ac:dyDescent="0.2">
      <c r="B15" s="69"/>
      <c r="C15" s="132" t="s">
        <v>79</v>
      </c>
      <c r="D15" s="132"/>
      <c r="E15" s="132"/>
      <c r="F15" s="65">
        <f>F13*E14</f>
        <v>7121.8962882259202</v>
      </c>
    </row>
    <row r="16" spans="2:11" ht="19.5" customHeight="1" x14ac:dyDescent="0.2">
      <c r="B16" s="35"/>
      <c r="C16" s="157" t="s">
        <v>24</v>
      </c>
      <c r="D16" s="157"/>
      <c r="E16" s="64"/>
      <c r="F16" s="51">
        <f>F15</f>
        <v>7121.8962882259202</v>
      </c>
    </row>
    <row r="17" spans="2:7" ht="15.75" x14ac:dyDescent="0.2">
      <c r="B17" s="32"/>
      <c r="C17" s="158" t="s">
        <v>17</v>
      </c>
      <c r="D17" s="159"/>
      <c r="E17" s="38"/>
      <c r="F17" s="51">
        <f>F16*0.2</f>
        <v>1424.3792576451842</v>
      </c>
    </row>
    <row r="18" spans="2:7" ht="16.5" thickBot="1" x14ac:dyDescent="0.25">
      <c r="B18" s="33"/>
      <c r="C18" s="145" t="s">
        <v>16</v>
      </c>
      <c r="D18" s="146"/>
      <c r="E18" s="39"/>
      <c r="F18" s="52">
        <f>F16+F17</f>
        <v>8546.2755458711035</v>
      </c>
    </row>
    <row r="19" spans="2:7" ht="14.25" customHeight="1" x14ac:dyDescent="0.25">
      <c r="B19" s="1"/>
      <c r="D19" s="120"/>
      <c r="E19" s="120"/>
      <c r="F19" s="34"/>
    </row>
    <row r="20" spans="2:7" s="40" customFormat="1" ht="32.25" customHeight="1" x14ac:dyDescent="0.2">
      <c r="B20" s="40" t="s">
        <v>23</v>
      </c>
      <c r="C20" s="41"/>
      <c r="D20" s="42"/>
      <c r="E20" s="43"/>
      <c r="F20" s="44"/>
      <c r="G20" s="44"/>
    </row>
    <row r="21" spans="2:7" ht="13.5" customHeight="1" x14ac:dyDescent="0.25">
      <c r="B21" s="1"/>
      <c r="C21" s="17"/>
      <c r="D21" s="121"/>
      <c r="E21" s="121"/>
      <c r="F21" s="1"/>
    </row>
    <row r="22" spans="2:7" x14ac:dyDescent="0.2">
      <c r="D22" s="8"/>
    </row>
    <row r="23" spans="2:7" x14ac:dyDescent="0.2">
      <c r="D23" s="8"/>
    </row>
  </sheetData>
  <mergeCells count="14">
    <mergeCell ref="D19:E19"/>
    <mergeCell ref="D21:E21"/>
    <mergeCell ref="C13:E13"/>
    <mergeCell ref="C14:D14"/>
    <mergeCell ref="C15:E15"/>
    <mergeCell ref="C16:D16"/>
    <mergeCell ref="C17:D17"/>
    <mergeCell ref="C18:D18"/>
    <mergeCell ref="B1:F3"/>
    <mergeCell ref="B9:B12"/>
    <mergeCell ref="C9:E9"/>
    <mergeCell ref="C10:C12"/>
    <mergeCell ref="D10:D12"/>
    <mergeCell ref="E10:E12"/>
  </mergeCells>
  <pageMargins left="0.23622047244094491" right="0.23622047244094491" top="0.36" bottom="0.37" header="0.21" footer="0.21"/>
  <pageSetup paperSize="9" scale="97" fitToHeight="1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view="pageBreakPreview" topLeftCell="B1" zoomScaleSheetLayoutView="100" workbookViewId="0">
      <selection activeCell="B1" sqref="B1:F3"/>
    </sheetView>
  </sheetViews>
  <sheetFormatPr defaultColWidth="9.140625" defaultRowHeight="12.75" x14ac:dyDescent="0.2"/>
  <cols>
    <col min="1" max="1" width="2.7109375" style="1" hidden="1" customWidth="1"/>
    <col min="2" max="2" width="7.7109375" style="14" customWidth="1"/>
    <col min="3" max="3" width="23.5703125" style="1" customWidth="1"/>
    <col min="4" max="4" width="84.42578125" style="1" customWidth="1"/>
    <col min="5" max="5" width="16.1406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21" customHeight="1" x14ac:dyDescent="0.2">
      <c r="B1" s="122" t="s">
        <v>310</v>
      </c>
      <c r="C1" s="122"/>
      <c r="D1" s="122"/>
      <c r="E1" s="122"/>
      <c r="F1" s="122"/>
    </row>
    <row r="2" spans="2:11" s="3" customFormat="1" ht="30.75" customHeight="1" x14ac:dyDescent="0.25">
      <c r="B2" s="122"/>
      <c r="C2" s="122"/>
      <c r="D2" s="122"/>
      <c r="E2" s="122"/>
      <c r="F2" s="122"/>
      <c r="G2" s="1"/>
      <c r="H2" s="1"/>
      <c r="I2" s="1"/>
      <c r="J2" s="1"/>
      <c r="K2" s="1"/>
    </row>
    <row r="3" spans="2:11" s="3" customFormat="1" ht="38.25" hidden="1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24" customHeight="1" x14ac:dyDescent="0.25">
      <c r="B4" s="21"/>
      <c r="C4" s="22"/>
      <c r="D4" s="68" t="s">
        <v>90</v>
      </c>
      <c r="E4" s="22"/>
      <c r="F4" s="23"/>
      <c r="G4" s="1"/>
      <c r="H4" s="1"/>
      <c r="I4" s="1"/>
      <c r="J4" s="1"/>
      <c r="K4" s="1"/>
    </row>
    <row r="5" spans="2:11" s="6" customFormat="1" ht="15.75" x14ac:dyDescent="0.25">
      <c r="B5" s="11"/>
      <c r="C5" s="5"/>
      <c r="D5" s="5"/>
      <c r="E5" s="5"/>
      <c r="F5" s="9"/>
      <c r="G5" s="1"/>
      <c r="H5" s="1"/>
      <c r="I5" s="1"/>
      <c r="J5" s="1"/>
      <c r="K5" s="1"/>
    </row>
    <row r="6" spans="2:11" s="45" customFormat="1" ht="25.5" customHeight="1" x14ac:dyDescent="0.2">
      <c r="B6" s="46"/>
      <c r="C6" s="47" t="str">
        <f>Свод!C5</f>
        <v>Номер ИП: L_009-11-1-03.13-2553</v>
      </c>
      <c r="D6" s="47"/>
      <c r="E6" s="47"/>
      <c r="F6" s="48"/>
      <c r="G6" s="49"/>
      <c r="H6" s="49"/>
      <c r="I6" s="49"/>
      <c r="J6" s="49"/>
      <c r="K6" s="49"/>
    </row>
    <row r="7" spans="2:11" s="3" customFormat="1" ht="24" customHeight="1" x14ac:dyDescent="0.25">
      <c r="B7" s="12"/>
      <c r="C7" s="5" t="s">
        <v>83</v>
      </c>
      <c r="D7" s="5"/>
      <c r="E7" s="5"/>
      <c r="F7" s="9"/>
      <c r="G7" s="9"/>
      <c r="H7" s="9"/>
      <c r="I7" s="4"/>
    </row>
    <row r="8" spans="2:11" ht="64.5" thickBot="1" x14ac:dyDescent="0.25">
      <c r="B8" s="15" t="s">
        <v>0</v>
      </c>
      <c r="C8" s="60" t="s">
        <v>32</v>
      </c>
      <c r="D8" s="60" t="s">
        <v>91</v>
      </c>
      <c r="E8" s="60" t="s">
        <v>12</v>
      </c>
      <c r="F8" s="16" t="s">
        <v>62</v>
      </c>
    </row>
    <row r="9" spans="2:11" x14ac:dyDescent="0.2">
      <c r="B9" s="81" t="s">
        <v>7</v>
      </c>
      <c r="C9" s="160" t="s">
        <v>92</v>
      </c>
      <c r="D9" s="160"/>
      <c r="E9" s="160"/>
      <c r="F9" s="82">
        <f>F10+F15</f>
        <v>627.76</v>
      </c>
    </row>
    <row r="10" spans="2:11" ht="14.25" customHeight="1" x14ac:dyDescent="0.2">
      <c r="B10" s="161" t="s">
        <v>93</v>
      </c>
      <c r="C10" s="149" t="s">
        <v>94</v>
      </c>
      <c r="D10" s="163" t="s">
        <v>95</v>
      </c>
      <c r="E10" s="163"/>
      <c r="F10" s="83">
        <f>E11*E12*E13</f>
        <v>486.40000000000003</v>
      </c>
    </row>
    <row r="11" spans="2:11" ht="26.25" customHeight="1" x14ac:dyDescent="0.2">
      <c r="B11" s="162"/>
      <c r="C11" s="149"/>
      <c r="D11" s="84" t="s">
        <v>96</v>
      </c>
      <c r="E11" s="18">
        <v>2432</v>
      </c>
      <c r="F11" s="83"/>
    </row>
    <row r="12" spans="2:11" ht="17.25" customHeight="1" x14ac:dyDescent="0.2">
      <c r="B12" s="162"/>
      <c r="C12" s="149"/>
      <c r="D12" s="84" t="s">
        <v>97</v>
      </c>
      <c r="E12" s="85">
        <v>0.2</v>
      </c>
      <c r="F12" s="83"/>
    </row>
    <row r="13" spans="2:11" ht="17.25" customHeight="1" thickBot="1" x14ac:dyDescent="0.25">
      <c r="B13" s="162"/>
      <c r="C13" s="149"/>
      <c r="D13" s="84" t="s">
        <v>98</v>
      </c>
      <c r="E13" s="18">
        <v>1</v>
      </c>
      <c r="F13" s="83"/>
    </row>
    <row r="14" spans="2:11" x14ac:dyDescent="0.2">
      <c r="B14" s="81" t="s">
        <v>9</v>
      </c>
      <c r="C14" s="160" t="s">
        <v>99</v>
      </c>
      <c r="D14" s="160"/>
      <c r="E14" s="160"/>
      <c r="F14" s="82">
        <f>F15+F22</f>
        <v>141.35999999999999</v>
      </c>
    </row>
    <row r="15" spans="2:11" ht="14.25" customHeight="1" x14ac:dyDescent="0.2">
      <c r="B15" s="161" t="s">
        <v>57</v>
      </c>
      <c r="C15" s="149" t="s">
        <v>100</v>
      </c>
      <c r="D15" s="163" t="s">
        <v>101</v>
      </c>
      <c r="E15" s="163"/>
      <c r="F15" s="83">
        <f>E16*E19*E17*E18</f>
        <v>141.35999999999999</v>
      </c>
    </row>
    <row r="16" spans="2:11" ht="26.25" customHeight="1" x14ac:dyDescent="0.2">
      <c r="B16" s="162"/>
      <c r="C16" s="149"/>
      <c r="D16" s="84" t="s">
        <v>96</v>
      </c>
      <c r="E16" s="18">
        <v>589</v>
      </c>
      <c r="F16" s="83"/>
    </row>
    <row r="17" spans="2:6" ht="17.25" customHeight="1" x14ac:dyDescent="0.2">
      <c r="B17" s="162"/>
      <c r="C17" s="149"/>
      <c r="D17" s="84" t="s">
        <v>97</v>
      </c>
      <c r="E17" s="85">
        <v>0.2</v>
      </c>
      <c r="F17" s="83"/>
    </row>
    <row r="18" spans="2:6" ht="17.25" customHeight="1" x14ac:dyDescent="0.2">
      <c r="B18" s="162"/>
      <c r="C18" s="149"/>
      <c r="D18" s="84" t="s">
        <v>98</v>
      </c>
      <c r="E18" s="85">
        <v>1</v>
      </c>
      <c r="F18" s="83"/>
    </row>
    <row r="19" spans="2:6" ht="26.25" thickBot="1" x14ac:dyDescent="0.25">
      <c r="B19" s="164"/>
      <c r="C19" s="149"/>
      <c r="D19" s="84" t="s">
        <v>102</v>
      </c>
      <c r="E19" s="85">
        <v>1.2</v>
      </c>
      <c r="F19" s="83"/>
    </row>
    <row r="20" spans="2:6" ht="15" customHeight="1" x14ac:dyDescent="0.2">
      <c r="B20" s="86">
        <v>3</v>
      </c>
      <c r="C20" s="160" t="s">
        <v>103</v>
      </c>
      <c r="D20" s="160"/>
      <c r="E20" s="160"/>
      <c r="F20" s="82">
        <f>F21+F24+F28</f>
        <v>429.59186199999999</v>
      </c>
    </row>
    <row r="21" spans="2:6" ht="15" customHeight="1" x14ac:dyDescent="0.2">
      <c r="B21" s="165" t="s">
        <v>104</v>
      </c>
      <c r="C21" s="125" t="s">
        <v>105</v>
      </c>
      <c r="D21" s="166" t="s">
        <v>106</v>
      </c>
      <c r="E21" s="166"/>
      <c r="F21" s="87">
        <f>E22*E23</f>
        <v>70.623000000000005</v>
      </c>
    </row>
    <row r="22" spans="2:6" ht="15.75" x14ac:dyDescent="0.2">
      <c r="B22" s="165"/>
      <c r="C22" s="125"/>
      <c r="D22" s="27" t="s">
        <v>107</v>
      </c>
      <c r="E22" s="71">
        <f>F9</f>
        <v>627.76</v>
      </c>
      <c r="F22" s="28"/>
    </row>
    <row r="23" spans="2:6" ht="15.75" x14ac:dyDescent="0.2">
      <c r="B23" s="165"/>
      <c r="C23" s="125"/>
      <c r="D23" s="27" t="s">
        <v>108</v>
      </c>
      <c r="E23" s="70">
        <v>0.1125</v>
      </c>
      <c r="F23" s="28"/>
    </row>
    <row r="24" spans="2:6" ht="15" customHeight="1" x14ac:dyDescent="0.2">
      <c r="B24" s="165" t="s">
        <v>109</v>
      </c>
      <c r="C24" s="125" t="s">
        <v>110</v>
      </c>
      <c r="D24" s="166" t="s">
        <v>111</v>
      </c>
      <c r="E24" s="166"/>
      <c r="F24" s="87">
        <f>(E25+E26)*E27</f>
        <v>254.211412</v>
      </c>
    </row>
    <row r="25" spans="2:6" ht="15.75" x14ac:dyDescent="0.2">
      <c r="B25" s="165"/>
      <c r="C25" s="125"/>
      <c r="D25" s="27" t="s">
        <v>107</v>
      </c>
      <c r="E25" s="71">
        <f>F9</f>
        <v>627.76</v>
      </c>
      <c r="F25" s="28"/>
    </row>
    <row r="26" spans="2:6" ht="15.75" x14ac:dyDescent="0.2">
      <c r="B26" s="165"/>
      <c r="C26" s="125"/>
      <c r="D26" s="27" t="s">
        <v>112</v>
      </c>
      <c r="E26" s="71">
        <f>F21</f>
        <v>70.623000000000005</v>
      </c>
      <c r="F26" s="28"/>
    </row>
    <row r="27" spans="2:6" ht="28.5" x14ac:dyDescent="0.2">
      <c r="B27" s="165"/>
      <c r="C27" s="125"/>
      <c r="D27" s="27" t="s">
        <v>113</v>
      </c>
      <c r="E27" s="70">
        <v>0.36399999999999999</v>
      </c>
      <c r="F27" s="28"/>
    </row>
    <row r="28" spans="2:6" ht="15" customHeight="1" x14ac:dyDescent="0.2">
      <c r="B28" s="165" t="s">
        <v>114</v>
      </c>
      <c r="C28" s="125" t="s">
        <v>115</v>
      </c>
      <c r="D28" s="166" t="s">
        <v>116</v>
      </c>
      <c r="E28" s="166"/>
      <c r="F28" s="87">
        <f>(E29+E30)*E31*E32</f>
        <v>104.75745000000001</v>
      </c>
    </row>
    <row r="29" spans="2:6" ht="15.75" x14ac:dyDescent="0.2">
      <c r="B29" s="165"/>
      <c r="C29" s="125"/>
      <c r="D29" s="27" t="s">
        <v>107</v>
      </c>
      <c r="E29" s="71">
        <f>F9</f>
        <v>627.76</v>
      </c>
      <c r="F29" s="28"/>
    </row>
    <row r="30" spans="2:6" ht="15.75" x14ac:dyDescent="0.2">
      <c r="B30" s="165"/>
      <c r="C30" s="125"/>
      <c r="D30" s="27" t="s">
        <v>112</v>
      </c>
      <c r="E30" s="71">
        <f>F21</f>
        <v>70.623000000000005</v>
      </c>
      <c r="F30" s="28"/>
    </row>
    <row r="31" spans="2:6" ht="28.5" x14ac:dyDescent="0.2">
      <c r="B31" s="165"/>
      <c r="C31" s="125"/>
      <c r="D31" s="27" t="s">
        <v>117</v>
      </c>
      <c r="E31" s="70">
        <v>0.06</v>
      </c>
      <c r="F31" s="28"/>
    </row>
    <row r="32" spans="2:6" ht="29.25" thickBot="1" x14ac:dyDescent="0.25">
      <c r="B32" s="169"/>
      <c r="C32" s="170"/>
      <c r="D32" s="88" t="s">
        <v>118</v>
      </c>
      <c r="E32" s="89">
        <v>2.5</v>
      </c>
      <c r="F32" s="90"/>
    </row>
    <row r="33" spans="2:7" x14ac:dyDescent="0.2">
      <c r="B33" s="72" t="s">
        <v>119</v>
      </c>
      <c r="C33" s="171" t="s">
        <v>120</v>
      </c>
      <c r="D33" s="172"/>
      <c r="E33" s="60"/>
      <c r="F33" s="91">
        <f>F9+F14+F20</f>
        <v>1198.7118620000001</v>
      </c>
    </row>
    <row r="34" spans="2:7" ht="14.25" customHeight="1" x14ac:dyDescent="0.2">
      <c r="B34" s="161" t="s">
        <v>121</v>
      </c>
      <c r="C34" s="149" t="s">
        <v>122</v>
      </c>
      <c r="D34" s="163" t="s">
        <v>123</v>
      </c>
      <c r="E34" s="163"/>
      <c r="F34" s="92">
        <f>E35*E36</f>
        <v>47.948474480000009</v>
      </c>
    </row>
    <row r="35" spans="2:7" ht="42.75" customHeight="1" x14ac:dyDescent="0.2">
      <c r="B35" s="162"/>
      <c r="C35" s="149"/>
      <c r="D35" s="84" t="s">
        <v>124</v>
      </c>
      <c r="E35" s="80">
        <f>F33</f>
        <v>1198.7118620000001</v>
      </c>
      <c r="F35" s="83"/>
    </row>
    <row r="36" spans="2:7" ht="17.25" customHeight="1" thickBot="1" x14ac:dyDescent="0.25">
      <c r="B36" s="164"/>
      <c r="C36" s="149"/>
      <c r="D36" s="84" t="s">
        <v>125</v>
      </c>
      <c r="E36" s="85">
        <v>0.04</v>
      </c>
      <c r="F36" s="83"/>
    </row>
    <row r="37" spans="2:7" ht="15" customHeight="1" thickBot="1" x14ac:dyDescent="0.25">
      <c r="B37" s="81" t="s">
        <v>126</v>
      </c>
      <c r="C37" s="148" t="s">
        <v>127</v>
      </c>
      <c r="D37" s="148"/>
      <c r="E37" s="148"/>
      <c r="F37" s="79"/>
    </row>
    <row r="38" spans="2:7" ht="15" customHeight="1" x14ac:dyDescent="0.2">
      <c r="B38" s="167" t="s">
        <v>128</v>
      </c>
      <c r="C38" s="125" t="s">
        <v>129</v>
      </c>
      <c r="D38" s="166" t="s">
        <v>130</v>
      </c>
      <c r="E38" s="166"/>
      <c r="F38" s="93">
        <f>ROUND(E39*E40,0)</f>
        <v>5809</v>
      </c>
    </row>
    <row r="39" spans="2:7" x14ac:dyDescent="0.2">
      <c r="B39" s="162"/>
      <c r="C39" s="125"/>
      <c r="D39" s="27" t="s">
        <v>131</v>
      </c>
      <c r="E39" s="71">
        <f>F33+F34</f>
        <v>1246.6603364800001</v>
      </c>
      <c r="F39" s="94"/>
    </row>
    <row r="40" spans="2:7" ht="41.25" customHeight="1" thickBot="1" x14ac:dyDescent="0.25">
      <c r="B40" s="168"/>
      <c r="C40" s="125"/>
      <c r="D40" s="27" t="s">
        <v>132</v>
      </c>
      <c r="E40" s="95">
        <v>4.66</v>
      </c>
      <c r="F40" s="96"/>
    </row>
    <row r="41" spans="2:7" ht="19.5" customHeight="1" x14ac:dyDescent="0.2">
      <c r="B41" s="35"/>
      <c r="C41" s="173" t="s">
        <v>133</v>
      </c>
      <c r="D41" s="173"/>
      <c r="E41" s="38"/>
      <c r="F41" s="97">
        <f>F38</f>
        <v>5809</v>
      </c>
    </row>
    <row r="42" spans="2:7" ht="18.75" customHeight="1" x14ac:dyDescent="0.2">
      <c r="B42" s="32"/>
      <c r="C42" s="158" t="s">
        <v>17</v>
      </c>
      <c r="D42" s="159"/>
      <c r="E42" s="38"/>
      <c r="F42" s="97">
        <f>F41*0.2</f>
        <v>1161.8</v>
      </c>
    </row>
    <row r="43" spans="2:7" ht="18.75" customHeight="1" thickBot="1" x14ac:dyDescent="0.25">
      <c r="B43" s="33"/>
      <c r="C43" s="145" t="s">
        <v>16</v>
      </c>
      <c r="D43" s="146"/>
      <c r="E43" s="39"/>
      <c r="F43" s="98">
        <f>F41+F42</f>
        <v>6970.8</v>
      </c>
    </row>
    <row r="44" spans="2:7" x14ac:dyDescent="0.2">
      <c r="B44" s="13"/>
      <c r="C44" s="2"/>
      <c r="D44" s="7"/>
      <c r="E44" s="2"/>
      <c r="F44" s="10"/>
    </row>
    <row r="45" spans="2:7" ht="14.25" customHeight="1" x14ac:dyDescent="0.25">
      <c r="B45" s="1"/>
      <c r="D45" s="120"/>
      <c r="E45" s="120"/>
      <c r="F45" s="34"/>
    </row>
    <row r="46" spans="2:7" s="40" customFormat="1" ht="32.25" customHeight="1" x14ac:dyDescent="0.2">
      <c r="B46" s="40" t="s">
        <v>23</v>
      </c>
      <c r="C46" s="41"/>
      <c r="D46" s="42"/>
      <c r="E46" s="43"/>
      <c r="F46" s="44"/>
      <c r="G46" s="44"/>
    </row>
    <row r="47" spans="2:7" ht="13.5" customHeight="1" x14ac:dyDescent="0.25">
      <c r="B47" s="1"/>
      <c r="C47" s="17"/>
      <c r="D47" s="121"/>
      <c r="E47" s="121"/>
      <c r="F47" s="1"/>
    </row>
    <row r="48" spans="2:7" x14ac:dyDescent="0.2">
      <c r="D48" s="8"/>
    </row>
    <row r="49" spans="4:4" x14ac:dyDescent="0.2">
      <c r="D49" s="8"/>
    </row>
  </sheetData>
  <mergeCells count="32">
    <mergeCell ref="C41:D41"/>
    <mergeCell ref="C42:D42"/>
    <mergeCell ref="C43:D43"/>
    <mergeCell ref="D45:E45"/>
    <mergeCell ref="D47:E47"/>
    <mergeCell ref="B38:B40"/>
    <mergeCell ref="C38:C40"/>
    <mergeCell ref="D38:E38"/>
    <mergeCell ref="B24:B27"/>
    <mergeCell ref="C24:C27"/>
    <mergeCell ref="D24:E24"/>
    <mergeCell ref="B28:B32"/>
    <mergeCell ref="C28:C32"/>
    <mergeCell ref="D28:E28"/>
    <mergeCell ref="C33:D33"/>
    <mergeCell ref="B34:B36"/>
    <mergeCell ref="C34:C36"/>
    <mergeCell ref="D34:E34"/>
    <mergeCell ref="C37:E37"/>
    <mergeCell ref="B15:B19"/>
    <mergeCell ref="C15:C19"/>
    <mergeCell ref="D15:E15"/>
    <mergeCell ref="C20:E20"/>
    <mergeCell ref="B21:B23"/>
    <mergeCell ref="C21:C23"/>
    <mergeCell ref="D21:E21"/>
    <mergeCell ref="C14:E14"/>
    <mergeCell ref="B1:F3"/>
    <mergeCell ref="C9:E9"/>
    <mergeCell ref="B10:B13"/>
    <mergeCell ref="C10:C13"/>
    <mergeCell ref="D10:E10"/>
  </mergeCells>
  <pageMargins left="0.23622047244094491" right="0.23622047244094491" top="0.28000000000000003" bottom="0.32" header="0.21" footer="0.21"/>
  <pageSetup paperSize="9" fitToHeight="1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workbookViewId="0">
      <selection sqref="A1:H1"/>
    </sheetView>
  </sheetViews>
  <sheetFormatPr defaultRowHeight="15" x14ac:dyDescent="0.25"/>
  <cols>
    <col min="1" max="1" width="6.42578125" style="100" customWidth="1"/>
    <col min="2" max="2" width="39.140625" style="100" customWidth="1"/>
    <col min="3" max="3" width="12" style="100" customWidth="1"/>
    <col min="4" max="4" width="23.85546875" style="100" customWidth="1"/>
    <col min="5" max="5" width="11.140625" style="100" customWidth="1"/>
    <col min="6" max="7" width="9.140625" style="100"/>
    <col min="8" max="8" width="11" style="101" customWidth="1"/>
    <col min="9" max="16384" width="9.140625" style="100"/>
  </cols>
  <sheetData>
    <row r="1" spans="1:11" ht="64.5" customHeight="1" x14ac:dyDescent="0.25">
      <c r="A1" s="174" t="s">
        <v>310</v>
      </c>
      <c r="B1" s="174"/>
      <c r="C1" s="174"/>
      <c r="D1" s="174"/>
      <c r="E1" s="174"/>
      <c r="F1" s="174"/>
      <c r="G1" s="174"/>
      <c r="H1" s="174"/>
    </row>
    <row r="2" spans="1:11" s="3" customFormat="1" ht="24" customHeight="1" x14ac:dyDescent="0.25">
      <c r="B2" s="123" t="s">
        <v>309</v>
      </c>
      <c r="C2" s="123"/>
      <c r="D2" s="123"/>
      <c r="E2" s="123"/>
      <c r="F2" s="123"/>
      <c r="G2" s="123"/>
      <c r="H2" s="123"/>
      <c r="I2" s="1"/>
      <c r="J2" s="1"/>
      <c r="K2" s="1"/>
    </row>
    <row r="3" spans="1:11" s="6" customFormat="1" ht="24" customHeight="1" x14ac:dyDescent="0.25">
      <c r="A3" s="175" t="str">
        <f>Свод!C5</f>
        <v>Номер ИП: L_009-11-1-03.13-2553</v>
      </c>
      <c r="B3" s="175"/>
      <c r="C3" s="175"/>
      <c r="D3" s="175"/>
      <c r="E3" s="175"/>
      <c r="F3" s="9"/>
      <c r="G3" s="1"/>
      <c r="H3" s="1"/>
      <c r="I3" s="1"/>
      <c r="J3" s="1"/>
      <c r="K3" s="1"/>
    </row>
    <row r="4" spans="1:11" s="3" customFormat="1" ht="25.5" customHeight="1" x14ac:dyDescent="0.25">
      <c r="A4" s="175" t="s">
        <v>139</v>
      </c>
      <c r="B4" s="175"/>
      <c r="C4" s="175"/>
      <c r="D4" s="175"/>
      <c r="E4" s="5"/>
      <c r="F4" s="9"/>
      <c r="G4" s="1"/>
      <c r="H4" s="1"/>
      <c r="I4" s="1"/>
      <c r="J4" s="1"/>
      <c r="K4" s="4"/>
    </row>
    <row r="6" spans="1:11" ht="15.75" thickBot="1" x14ac:dyDescent="0.3"/>
    <row r="7" spans="1:11" ht="25.5" customHeight="1" x14ac:dyDescent="0.25">
      <c r="A7" s="102" t="s">
        <v>140</v>
      </c>
      <c r="B7" s="176" t="s">
        <v>141</v>
      </c>
      <c r="C7" s="176" t="s">
        <v>142</v>
      </c>
      <c r="D7" s="176" t="s">
        <v>143</v>
      </c>
      <c r="E7" s="176" t="s">
        <v>144</v>
      </c>
      <c r="F7" s="176" t="s">
        <v>145</v>
      </c>
      <c r="G7" s="176" t="s">
        <v>146</v>
      </c>
      <c r="H7" s="178" t="s">
        <v>147</v>
      </c>
    </row>
    <row r="8" spans="1:11" ht="16.5" customHeight="1" thickBot="1" x14ac:dyDescent="0.3">
      <c r="A8" s="103" t="s">
        <v>148</v>
      </c>
      <c r="B8" s="177"/>
      <c r="C8" s="177"/>
      <c r="D8" s="177"/>
      <c r="E8" s="177"/>
      <c r="F8" s="177"/>
      <c r="G8" s="177"/>
      <c r="H8" s="179"/>
    </row>
    <row r="9" spans="1:11" ht="15.75" thickBot="1" x14ac:dyDescent="0.3">
      <c r="A9" s="180" t="s">
        <v>149</v>
      </c>
      <c r="B9" s="181"/>
      <c r="C9" s="181"/>
      <c r="D9" s="181"/>
      <c r="E9" s="181"/>
      <c r="F9" s="181"/>
      <c r="G9" s="181"/>
      <c r="H9" s="182"/>
    </row>
    <row r="10" spans="1:11" x14ac:dyDescent="0.25">
      <c r="A10" s="176">
        <v>1</v>
      </c>
      <c r="B10" s="176" t="s">
        <v>150</v>
      </c>
      <c r="C10" s="176" t="s">
        <v>151</v>
      </c>
      <c r="D10" s="102" t="s">
        <v>152</v>
      </c>
      <c r="E10" s="176">
        <v>1.25</v>
      </c>
      <c r="F10" s="176">
        <v>350</v>
      </c>
      <c r="G10" s="176">
        <f>22*0.05</f>
        <v>1.1000000000000001</v>
      </c>
      <c r="H10" s="178">
        <f>E10*F10*G10</f>
        <v>481.25000000000006</v>
      </c>
    </row>
    <row r="11" spans="1:11" x14ac:dyDescent="0.25">
      <c r="A11" s="183"/>
      <c r="B11" s="183"/>
      <c r="C11" s="183"/>
      <c r="D11" s="103" t="s">
        <v>153</v>
      </c>
      <c r="E11" s="183"/>
      <c r="F11" s="183"/>
      <c r="G11" s="183"/>
      <c r="H11" s="184"/>
    </row>
    <row r="12" spans="1:11" ht="15.75" thickBot="1" x14ac:dyDescent="0.3">
      <c r="A12" s="177"/>
      <c r="B12" s="177"/>
      <c r="C12" s="177"/>
      <c r="D12" s="104"/>
      <c r="E12" s="177"/>
      <c r="F12" s="177"/>
      <c r="G12" s="177"/>
      <c r="H12" s="179"/>
    </row>
    <row r="13" spans="1:11" s="106" customFormat="1" thickBot="1" x14ac:dyDescent="0.25">
      <c r="A13" s="180" t="s">
        <v>154</v>
      </c>
      <c r="B13" s="181"/>
      <c r="C13" s="181"/>
      <c r="D13" s="181"/>
      <c r="E13" s="181"/>
      <c r="F13" s="181"/>
      <c r="G13" s="182"/>
      <c r="H13" s="105">
        <f>H10</f>
        <v>481.25000000000006</v>
      </c>
    </row>
    <row r="14" spans="1:11" ht="15.75" thickBot="1" x14ac:dyDescent="0.3">
      <c r="A14" s="180" t="s">
        <v>155</v>
      </c>
      <c r="B14" s="181"/>
      <c r="C14" s="181"/>
      <c r="D14" s="181"/>
      <c r="E14" s="181"/>
      <c r="F14" s="181"/>
      <c r="G14" s="181"/>
      <c r="H14" s="182"/>
    </row>
    <row r="15" spans="1:11" x14ac:dyDescent="0.25">
      <c r="A15" s="176">
        <v>2</v>
      </c>
      <c r="B15" s="176" t="s">
        <v>156</v>
      </c>
      <c r="C15" s="176" t="s">
        <v>157</v>
      </c>
      <c r="D15" s="102" t="s">
        <v>158</v>
      </c>
      <c r="E15" s="176">
        <v>1.1000000000000001</v>
      </c>
      <c r="F15" s="176">
        <v>27</v>
      </c>
      <c r="G15" s="176">
        <v>1</v>
      </c>
      <c r="H15" s="178">
        <f>E15*F15*G15</f>
        <v>29.700000000000003</v>
      </c>
    </row>
    <row r="16" spans="1:11" ht="37.5" customHeight="1" thickBot="1" x14ac:dyDescent="0.3">
      <c r="A16" s="177"/>
      <c r="B16" s="177"/>
      <c r="C16" s="177"/>
      <c r="D16" s="103" t="s">
        <v>159</v>
      </c>
      <c r="E16" s="177"/>
      <c r="F16" s="177"/>
      <c r="G16" s="177"/>
      <c r="H16" s="179"/>
    </row>
    <row r="17" spans="1:8" ht="75.75" thickBot="1" x14ac:dyDescent="0.3">
      <c r="A17" s="102">
        <v>3</v>
      </c>
      <c r="B17" s="102" t="s">
        <v>160</v>
      </c>
      <c r="C17" s="102" t="s">
        <v>157</v>
      </c>
      <c r="D17" s="102" t="s">
        <v>161</v>
      </c>
      <c r="E17" s="102"/>
      <c r="F17" s="102">
        <v>20.3</v>
      </c>
      <c r="G17" s="102">
        <v>1</v>
      </c>
      <c r="H17" s="107">
        <f>F17*G17</f>
        <v>20.3</v>
      </c>
    </row>
    <row r="18" spans="1:8" ht="60.75" thickBot="1" x14ac:dyDescent="0.3">
      <c r="A18" s="102">
        <v>4</v>
      </c>
      <c r="B18" s="102" t="s">
        <v>162</v>
      </c>
      <c r="C18" s="102" t="s">
        <v>157</v>
      </c>
      <c r="D18" s="102" t="s">
        <v>161</v>
      </c>
      <c r="E18" s="102"/>
      <c r="F18" s="102">
        <v>20.3</v>
      </c>
      <c r="G18" s="102">
        <v>1</v>
      </c>
      <c r="H18" s="107">
        <f>F18*G18</f>
        <v>20.3</v>
      </c>
    </row>
    <row r="19" spans="1:8" ht="45.75" thickBot="1" x14ac:dyDescent="0.3">
      <c r="A19" s="102">
        <v>5</v>
      </c>
      <c r="B19" s="102" t="s">
        <v>163</v>
      </c>
      <c r="C19" s="102" t="s">
        <v>164</v>
      </c>
      <c r="D19" s="102" t="s">
        <v>165</v>
      </c>
      <c r="E19" s="102"/>
      <c r="F19" s="102">
        <v>7.3</v>
      </c>
      <c r="G19" s="102">
        <v>1</v>
      </c>
      <c r="H19" s="107">
        <f>F19*G19</f>
        <v>7.3</v>
      </c>
    </row>
    <row r="20" spans="1:8" ht="23.25" customHeight="1" x14ac:dyDescent="0.25">
      <c r="A20" s="176">
        <v>6</v>
      </c>
      <c r="B20" s="176" t="s">
        <v>166</v>
      </c>
      <c r="C20" s="176" t="s">
        <v>164</v>
      </c>
      <c r="D20" s="102" t="s">
        <v>165</v>
      </c>
      <c r="E20" s="176">
        <v>0.4</v>
      </c>
      <c r="F20" s="176">
        <v>11.7</v>
      </c>
      <c r="G20" s="176">
        <v>1</v>
      </c>
      <c r="H20" s="178">
        <f>E20*F20*G20</f>
        <v>4.68</v>
      </c>
    </row>
    <row r="21" spans="1:8" ht="30" customHeight="1" thickBot="1" x14ac:dyDescent="0.3">
      <c r="A21" s="177"/>
      <c r="B21" s="177"/>
      <c r="C21" s="177"/>
      <c r="D21" s="103" t="s">
        <v>167</v>
      </c>
      <c r="E21" s="177"/>
      <c r="F21" s="177"/>
      <c r="G21" s="177"/>
      <c r="H21" s="179"/>
    </row>
    <row r="22" spans="1:8" x14ac:dyDescent="0.25">
      <c r="A22" s="176">
        <v>7</v>
      </c>
      <c r="B22" s="176" t="s">
        <v>168</v>
      </c>
      <c r="C22" s="176" t="s">
        <v>169</v>
      </c>
      <c r="D22" s="102" t="s">
        <v>170</v>
      </c>
      <c r="E22" s="176">
        <v>0.9</v>
      </c>
      <c r="F22" s="176">
        <v>11.7</v>
      </c>
      <c r="G22" s="176">
        <v>1</v>
      </c>
      <c r="H22" s="178">
        <f>E22*F22*G22</f>
        <v>10.53</v>
      </c>
    </row>
    <row r="23" spans="1:8" ht="34.5" customHeight="1" thickBot="1" x14ac:dyDescent="0.3">
      <c r="A23" s="177"/>
      <c r="B23" s="177"/>
      <c r="C23" s="177"/>
      <c r="D23" s="103" t="s">
        <v>171</v>
      </c>
      <c r="E23" s="177"/>
      <c r="F23" s="177"/>
      <c r="G23" s="177"/>
      <c r="H23" s="179"/>
    </row>
    <row r="24" spans="1:8" ht="24.75" customHeight="1" x14ac:dyDescent="0.25">
      <c r="A24" s="176">
        <v>8</v>
      </c>
      <c r="B24" s="176" t="s">
        <v>172</v>
      </c>
      <c r="C24" s="176" t="s">
        <v>169</v>
      </c>
      <c r="D24" s="102" t="s">
        <v>173</v>
      </c>
      <c r="E24" s="176">
        <v>0.5</v>
      </c>
      <c r="F24" s="176">
        <v>7.6</v>
      </c>
      <c r="G24" s="176">
        <v>1</v>
      </c>
      <c r="H24" s="178">
        <f>E24*F24*G24</f>
        <v>3.8</v>
      </c>
    </row>
    <row r="25" spans="1:8" ht="51.75" customHeight="1" thickBot="1" x14ac:dyDescent="0.3">
      <c r="A25" s="177"/>
      <c r="B25" s="177"/>
      <c r="C25" s="177"/>
      <c r="D25" s="103" t="s">
        <v>174</v>
      </c>
      <c r="E25" s="177"/>
      <c r="F25" s="177"/>
      <c r="G25" s="177"/>
      <c r="H25" s="179"/>
    </row>
    <row r="26" spans="1:8" ht="45.75" thickBot="1" x14ac:dyDescent="0.3">
      <c r="A26" s="102">
        <v>9</v>
      </c>
      <c r="B26" s="102" t="s">
        <v>175</v>
      </c>
      <c r="C26" s="102" t="s">
        <v>169</v>
      </c>
      <c r="D26" s="102" t="s">
        <v>176</v>
      </c>
      <c r="E26" s="102"/>
      <c r="F26" s="102">
        <v>37.700000000000003</v>
      </c>
      <c r="G26" s="102">
        <v>1</v>
      </c>
      <c r="H26" s="107">
        <f>F26*G26</f>
        <v>37.700000000000003</v>
      </c>
    </row>
    <row r="27" spans="1:8" x14ac:dyDescent="0.25">
      <c r="A27" s="176">
        <v>10</v>
      </c>
      <c r="B27" s="176" t="s">
        <v>177</v>
      </c>
      <c r="C27" s="176" t="s">
        <v>169</v>
      </c>
      <c r="D27" s="102" t="s">
        <v>176</v>
      </c>
      <c r="E27" s="176">
        <v>0.9</v>
      </c>
      <c r="F27" s="176">
        <v>37.700000000000003</v>
      </c>
      <c r="G27" s="176">
        <v>1</v>
      </c>
      <c r="H27" s="178">
        <f>E27*F27*G27</f>
        <v>33.930000000000007</v>
      </c>
    </row>
    <row r="28" spans="1:8" ht="36.75" customHeight="1" thickBot="1" x14ac:dyDescent="0.3">
      <c r="A28" s="177"/>
      <c r="B28" s="177"/>
      <c r="C28" s="177"/>
      <c r="D28" s="108" t="s">
        <v>178</v>
      </c>
      <c r="E28" s="177"/>
      <c r="F28" s="177"/>
      <c r="G28" s="177"/>
      <c r="H28" s="179"/>
    </row>
    <row r="29" spans="1:8" ht="28.5" customHeight="1" x14ac:dyDescent="0.25">
      <c r="A29" s="176">
        <v>11</v>
      </c>
      <c r="B29" s="176" t="s">
        <v>179</v>
      </c>
      <c r="C29" s="176" t="s">
        <v>169</v>
      </c>
      <c r="D29" s="102" t="s">
        <v>170</v>
      </c>
      <c r="E29" s="176">
        <v>1.2</v>
      </c>
      <c r="F29" s="176">
        <v>6.9</v>
      </c>
      <c r="G29" s="176">
        <v>1</v>
      </c>
      <c r="H29" s="178">
        <f>E29*F29*G29</f>
        <v>8.2799999999999994</v>
      </c>
    </row>
    <row r="30" spans="1:8" ht="24.75" customHeight="1" thickBot="1" x14ac:dyDescent="0.3">
      <c r="A30" s="177"/>
      <c r="B30" s="177"/>
      <c r="C30" s="177"/>
      <c r="D30" s="103" t="s">
        <v>180</v>
      </c>
      <c r="E30" s="177"/>
      <c r="F30" s="177"/>
      <c r="G30" s="177"/>
      <c r="H30" s="179"/>
    </row>
    <row r="31" spans="1:8" ht="30" customHeight="1" thickBot="1" x14ac:dyDescent="0.3">
      <c r="A31" s="102">
        <v>12</v>
      </c>
      <c r="B31" s="102" t="s">
        <v>181</v>
      </c>
      <c r="C31" s="102" t="s">
        <v>182</v>
      </c>
      <c r="D31" s="102" t="s">
        <v>183</v>
      </c>
      <c r="E31" s="102"/>
      <c r="F31" s="102">
        <v>535</v>
      </c>
      <c r="G31" s="102">
        <v>0.1</v>
      </c>
      <c r="H31" s="109">
        <f>F31*G31</f>
        <v>53.5</v>
      </c>
    </row>
    <row r="32" spans="1:8" ht="36" customHeight="1" thickBot="1" x14ac:dyDescent="0.3">
      <c r="A32" s="102">
        <v>13</v>
      </c>
      <c r="B32" s="102" t="s">
        <v>184</v>
      </c>
      <c r="C32" s="102" t="s">
        <v>185</v>
      </c>
      <c r="D32" s="102" t="s">
        <v>186</v>
      </c>
      <c r="E32" s="102"/>
      <c r="F32" s="102">
        <v>49.2</v>
      </c>
      <c r="G32" s="102">
        <v>0.3</v>
      </c>
      <c r="H32" s="109">
        <f>F32*G32</f>
        <v>14.76</v>
      </c>
    </row>
    <row r="33" spans="1:8" x14ac:dyDescent="0.25">
      <c r="A33" s="176">
        <v>14</v>
      </c>
      <c r="B33" s="176" t="s">
        <v>187</v>
      </c>
      <c r="C33" s="176"/>
      <c r="D33" s="102" t="s">
        <v>188</v>
      </c>
      <c r="E33" s="176">
        <v>1.3</v>
      </c>
      <c r="F33" s="185">
        <f>SUM(H15:H32)</f>
        <v>244.78</v>
      </c>
      <c r="G33" s="176"/>
      <c r="H33" s="178">
        <f>F33*0.3</f>
        <v>73.433999999999997</v>
      </c>
    </row>
    <row r="34" spans="1:8" ht="27.75" customHeight="1" thickBot="1" x14ac:dyDescent="0.3">
      <c r="A34" s="177"/>
      <c r="B34" s="177"/>
      <c r="C34" s="177"/>
      <c r="D34" s="103" t="s">
        <v>189</v>
      </c>
      <c r="E34" s="177"/>
      <c r="F34" s="186"/>
      <c r="G34" s="177"/>
      <c r="H34" s="179"/>
    </row>
    <row r="35" spans="1:8" ht="15.75" thickBot="1" x14ac:dyDescent="0.3">
      <c r="A35" s="190" t="s">
        <v>190</v>
      </c>
      <c r="B35" s="191"/>
      <c r="C35" s="191"/>
      <c r="D35" s="191"/>
      <c r="E35" s="191"/>
      <c r="F35" s="191"/>
      <c r="G35" s="192"/>
      <c r="H35" s="105">
        <f>SUM(H15:H34)</f>
        <v>318.214</v>
      </c>
    </row>
    <row r="36" spans="1:8" ht="90.75" thickBot="1" x14ac:dyDescent="0.3">
      <c r="A36" s="102">
        <v>15</v>
      </c>
      <c r="B36" s="102" t="s">
        <v>191</v>
      </c>
      <c r="C36" s="102" t="s">
        <v>192</v>
      </c>
      <c r="D36" s="102" t="s">
        <v>193</v>
      </c>
      <c r="E36" s="102">
        <v>8.7499999999999994E-2</v>
      </c>
      <c r="F36" s="102"/>
      <c r="G36" s="109">
        <f>H35</f>
        <v>318.214</v>
      </c>
      <c r="H36" s="107">
        <f>E36*G36</f>
        <v>27.843724999999999</v>
      </c>
    </row>
    <row r="37" spans="1:8" ht="90.75" thickBot="1" x14ac:dyDescent="0.3">
      <c r="A37" s="102">
        <v>16</v>
      </c>
      <c r="B37" s="102" t="s">
        <v>194</v>
      </c>
      <c r="C37" s="102" t="s">
        <v>192</v>
      </c>
      <c r="D37" s="102" t="s">
        <v>195</v>
      </c>
      <c r="E37" s="102">
        <v>0.14000000000000001</v>
      </c>
      <c r="F37" s="102"/>
      <c r="G37" s="109">
        <f>H35</f>
        <v>318.214</v>
      </c>
      <c r="H37" s="107">
        <f>G37*E37</f>
        <v>44.549960000000006</v>
      </c>
    </row>
    <row r="38" spans="1:8" ht="20.25" customHeight="1" x14ac:dyDescent="0.25">
      <c r="A38" s="176">
        <v>17</v>
      </c>
      <c r="B38" s="176" t="s">
        <v>196</v>
      </c>
      <c r="C38" s="176" t="s">
        <v>197</v>
      </c>
      <c r="D38" s="176" t="s">
        <v>198</v>
      </c>
      <c r="E38" s="176">
        <v>0.06</v>
      </c>
      <c r="F38" s="176"/>
      <c r="G38" s="178">
        <f>H35</f>
        <v>318.214</v>
      </c>
      <c r="H38" s="178">
        <f>E38*G38</f>
        <v>19.092839999999999</v>
      </c>
    </row>
    <row r="39" spans="1:8" ht="38.25" customHeight="1" thickBot="1" x14ac:dyDescent="0.3">
      <c r="A39" s="177"/>
      <c r="B39" s="177"/>
      <c r="C39" s="177"/>
      <c r="D39" s="177"/>
      <c r="E39" s="177"/>
      <c r="F39" s="177"/>
      <c r="G39" s="177"/>
      <c r="H39" s="179"/>
    </row>
    <row r="40" spans="1:8" ht="15.75" thickBot="1" x14ac:dyDescent="0.3">
      <c r="A40" s="180" t="s">
        <v>199</v>
      </c>
      <c r="B40" s="181"/>
      <c r="C40" s="181"/>
      <c r="D40" s="181"/>
      <c r="E40" s="181"/>
      <c r="F40" s="181"/>
      <c r="G40" s="182"/>
      <c r="H40" s="105">
        <f>H35+H36+H37+H38</f>
        <v>409.70052500000003</v>
      </c>
    </row>
    <row r="41" spans="1:8" ht="15.75" thickBot="1" x14ac:dyDescent="0.3">
      <c r="A41" s="180" t="s">
        <v>200</v>
      </c>
      <c r="B41" s="181"/>
      <c r="C41" s="181"/>
      <c r="D41" s="181"/>
      <c r="E41" s="181"/>
      <c r="F41" s="181"/>
      <c r="G41" s="181"/>
      <c r="H41" s="182"/>
    </row>
    <row r="42" spans="1:8" ht="15.75" thickBot="1" x14ac:dyDescent="0.3">
      <c r="A42" s="187" t="s">
        <v>201</v>
      </c>
      <c r="B42" s="188"/>
      <c r="C42" s="188"/>
      <c r="D42" s="188"/>
      <c r="E42" s="188"/>
      <c r="F42" s="188"/>
      <c r="G42" s="188"/>
      <c r="H42" s="189"/>
    </row>
    <row r="43" spans="1:8" ht="39.75" customHeight="1" thickBot="1" x14ac:dyDescent="0.3">
      <c r="A43" s="102">
        <v>18</v>
      </c>
      <c r="B43" s="102" t="s">
        <v>202</v>
      </c>
      <c r="C43" s="102" t="s">
        <v>203</v>
      </c>
      <c r="D43" s="102" t="s">
        <v>204</v>
      </c>
      <c r="E43" s="102"/>
      <c r="F43" s="102">
        <v>2</v>
      </c>
      <c r="G43" s="102">
        <v>1</v>
      </c>
      <c r="H43" s="107">
        <f t="shared" ref="H43:H51" si="0">F43*G43</f>
        <v>2</v>
      </c>
    </row>
    <row r="44" spans="1:8" ht="56.25" customHeight="1" thickBot="1" x14ac:dyDescent="0.3">
      <c r="A44" s="102">
        <v>19</v>
      </c>
      <c r="B44" s="102" t="s">
        <v>205</v>
      </c>
      <c r="C44" s="102" t="s">
        <v>203</v>
      </c>
      <c r="D44" s="102" t="s">
        <v>206</v>
      </c>
      <c r="E44" s="102"/>
      <c r="F44" s="102">
        <v>7.8</v>
      </c>
      <c r="G44" s="102">
        <v>1</v>
      </c>
      <c r="H44" s="107">
        <f t="shared" si="0"/>
        <v>7.8</v>
      </c>
    </row>
    <row r="45" spans="1:8" ht="51.75" customHeight="1" thickBot="1" x14ac:dyDescent="0.3">
      <c r="A45" s="102">
        <v>20</v>
      </c>
      <c r="B45" s="102" t="s">
        <v>207</v>
      </c>
      <c r="C45" s="102" t="s">
        <v>203</v>
      </c>
      <c r="D45" s="102" t="s">
        <v>208</v>
      </c>
      <c r="E45" s="102"/>
      <c r="F45" s="102">
        <v>23</v>
      </c>
      <c r="G45" s="102">
        <v>1</v>
      </c>
      <c r="H45" s="107">
        <f t="shared" si="0"/>
        <v>23</v>
      </c>
    </row>
    <row r="46" spans="1:8" ht="36.75" customHeight="1" thickBot="1" x14ac:dyDescent="0.3">
      <c r="A46" s="102">
        <v>21</v>
      </c>
      <c r="B46" s="102" t="s">
        <v>209</v>
      </c>
      <c r="C46" s="102" t="s">
        <v>203</v>
      </c>
      <c r="D46" s="102" t="s">
        <v>210</v>
      </c>
      <c r="E46" s="102"/>
      <c r="F46" s="102">
        <v>19.7</v>
      </c>
      <c r="G46" s="102">
        <v>1</v>
      </c>
      <c r="H46" s="107">
        <f t="shared" si="0"/>
        <v>19.7</v>
      </c>
    </row>
    <row r="47" spans="1:8" ht="60.75" thickBot="1" x14ac:dyDescent="0.3">
      <c r="A47" s="102">
        <v>22</v>
      </c>
      <c r="B47" s="102" t="s">
        <v>211</v>
      </c>
      <c r="C47" s="102" t="s">
        <v>203</v>
      </c>
      <c r="D47" s="102" t="s">
        <v>212</v>
      </c>
      <c r="E47" s="102"/>
      <c r="F47" s="102">
        <v>95.8</v>
      </c>
      <c r="G47" s="102">
        <v>1</v>
      </c>
      <c r="H47" s="107">
        <f t="shared" si="0"/>
        <v>95.8</v>
      </c>
    </row>
    <row r="48" spans="1:8" ht="60.75" thickBot="1" x14ac:dyDescent="0.3">
      <c r="A48" s="102">
        <v>23</v>
      </c>
      <c r="B48" s="102" t="s">
        <v>213</v>
      </c>
      <c r="C48" s="102" t="s">
        <v>203</v>
      </c>
      <c r="D48" s="102" t="s">
        <v>214</v>
      </c>
      <c r="E48" s="102"/>
      <c r="F48" s="102">
        <v>52.3</v>
      </c>
      <c r="G48" s="102">
        <v>1</v>
      </c>
      <c r="H48" s="107">
        <f t="shared" si="0"/>
        <v>52.3</v>
      </c>
    </row>
    <row r="49" spans="1:8" ht="45.75" thickBot="1" x14ac:dyDescent="0.3">
      <c r="A49" s="110">
        <v>24</v>
      </c>
      <c r="B49" s="110" t="s">
        <v>215</v>
      </c>
      <c r="C49" s="110" t="s">
        <v>203</v>
      </c>
      <c r="D49" s="110" t="s">
        <v>214</v>
      </c>
      <c r="E49" s="110"/>
      <c r="F49" s="110">
        <v>52.3</v>
      </c>
      <c r="G49" s="110">
        <v>1</v>
      </c>
      <c r="H49" s="107">
        <f t="shared" si="0"/>
        <v>52.3</v>
      </c>
    </row>
    <row r="50" spans="1:8" ht="45.75" thickBot="1" x14ac:dyDescent="0.3">
      <c r="A50" s="103">
        <v>25</v>
      </c>
      <c r="B50" s="102" t="s">
        <v>216</v>
      </c>
      <c r="C50" s="102" t="s">
        <v>203</v>
      </c>
      <c r="D50" s="102" t="s">
        <v>214</v>
      </c>
      <c r="E50" s="102"/>
      <c r="F50" s="102">
        <v>52.3</v>
      </c>
      <c r="G50" s="103">
        <v>1</v>
      </c>
      <c r="H50" s="107">
        <f t="shared" si="0"/>
        <v>52.3</v>
      </c>
    </row>
    <row r="51" spans="1:8" ht="30.75" thickBot="1" x14ac:dyDescent="0.3">
      <c r="A51" s="102">
        <v>26</v>
      </c>
      <c r="B51" s="102" t="s">
        <v>217</v>
      </c>
      <c r="C51" s="102" t="s">
        <v>203</v>
      </c>
      <c r="D51" s="102" t="s">
        <v>218</v>
      </c>
      <c r="E51" s="102"/>
      <c r="F51" s="102">
        <v>148</v>
      </c>
      <c r="G51" s="102">
        <v>1</v>
      </c>
      <c r="H51" s="107">
        <f t="shared" si="0"/>
        <v>148</v>
      </c>
    </row>
    <row r="52" spans="1:8" ht="15.75" thickBot="1" x14ac:dyDescent="0.3">
      <c r="A52" s="180" t="s">
        <v>190</v>
      </c>
      <c r="B52" s="181"/>
      <c r="C52" s="181"/>
      <c r="D52" s="181"/>
      <c r="E52" s="181"/>
      <c r="F52" s="181"/>
      <c r="G52" s="182"/>
      <c r="H52" s="105">
        <f>SUM(H43:H51)</f>
        <v>453.20000000000005</v>
      </c>
    </row>
    <row r="53" spans="1:8" ht="15.75" thickBot="1" x14ac:dyDescent="0.3">
      <c r="A53" s="187" t="s">
        <v>219</v>
      </c>
      <c r="B53" s="188"/>
      <c r="C53" s="188"/>
      <c r="D53" s="188"/>
      <c r="E53" s="188"/>
      <c r="F53" s="188"/>
      <c r="G53" s="188"/>
      <c r="H53" s="189"/>
    </row>
    <row r="54" spans="1:8" ht="30.75" thickBot="1" x14ac:dyDescent="0.3">
      <c r="A54" s="102">
        <v>27</v>
      </c>
      <c r="B54" s="102" t="s">
        <v>220</v>
      </c>
      <c r="C54" s="102" t="s">
        <v>203</v>
      </c>
      <c r="D54" s="102" t="s">
        <v>221</v>
      </c>
      <c r="E54" s="102"/>
      <c r="F54" s="102">
        <v>7.1</v>
      </c>
      <c r="G54" s="102">
        <v>1</v>
      </c>
      <c r="H54" s="107">
        <f t="shared" ref="H54:H64" si="1">F54*G54</f>
        <v>7.1</v>
      </c>
    </row>
    <row r="55" spans="1:8" ht="30.75" thickBot="1" x14ac:dyDescent="0.3">
      <c r="A55" s="102">
        <v>28</v>
      </c>
      <c r="B55" s="102" t="s">
        <v>202</v>
      </c>
      <c r="C55" s="102" t="s">
        <v>203</v>
      </c>
      <c r="D55" s="102" t="s">
        <v>204</v>
      </c>
      <c r="E55" s="102"/>
      <c r="F55" s="102">
        <v>2</v>
      </c>
      <c r="G55" s="102">
        <v>1</v>
      </c>
      <c r="H55" s="107">
        <f t="shared" si="1"/>
        <v>2</v>
      </c>
    </row>
    <row r="56" spans="1:8" ht="15.75" thickBot="1" x14ac:dyDescent="0.3">
      <c r="A56" s="102">
        <v>29</v>
      </c>
      <c r="B56" s="102" t="s">
        <v>222</v>
      </c>
      <c r="C56" s="102" t="s">
        <v>203</v>
      </c>
      <c r="D56" s="102" t="s">
        <v>223</v>
      </c>
      <c r="E56" s="102"/>
      <c r="F56" s="102">
        <v>12.2</v>
      </c>
      <c r="G56" s="102">
        <v>1</v>
      </c>
      <c r="H56" s="107">
        <f t="shared" si="1"/>
        <v>12.2</v>
      </c>
    </row>
    <row r="57" spans="1:8" ht="15.75" thickBot="1" x14ac:dyDescent="0.3">
      <c r="A57" s="102">
        <v>30</v>
      </c>
      <c r="B57" s="102" t="s">
        <v>224</v>
      </c>
      <c r="C57" s="102" t="s">
        <v>203</v>
      </c>
      <c r="D57" s="102" t="s">
        <v>225</v>
      </c>
      <c r="E57" s="102"/>
      <c r="F57" s="102">
        <v>14.2</v>
      </c>
      <c r="G57" s="102">
        <v>1</v>
      </c>
      <c r="H57" s="107">
        <f t="shared" si="1"/>
        <v>14.2</v>
      </c>
    </row>
    <row r="58" spans="1:8" ht="15.75" thickBot="1" x14ac:dyDescent="0.3">
      <c r="A58" s="102">
        <v>31</v>
      </c>
      <c r="B58" s="102" t="s">
        <v>226</v>
      </c>
      <c r="C58" s="102" t="s">
        <v>203</v>
      </c>
      <c r="D58" s="102" t="s">
        <v>227</v>
      </c>
      <c r="E58" s="102"/>
      <c r="F58" s="102">
        <v>7.6</v>
      </c>
      <c r="G58" s="102">
        <v>1</v>
      </c>
      <c r="H58" s="107">
        <f t="shared" si="1"/>
        <v>7.6</v>
      </c>
    </row>
    <row r="59" spans="1:8" ht="30.75" thickBot="1" x14ac:dyDescent="0.3">
      <c r="A59" s="102">
        <v>32</v>
      </c>
      <c r="B59" s="102" t="s">
        <v>228</v>
      </c>
      <c r="C59" s="102" t="s">
        <v>203</v>
      </c>
      <c r="D59" s="102" t="s">
        <v>229</v>
      </c>
      <c r="E59" s="102"/>
      <c r="F59" s="102">
        <v>8.9</v>
      </c>
      <c r="G59" s="102">
        <v>1</v>
      </c>
      <c r="H59" s="107">
        <f t="shared" si="1"/>
        <v>8.9</v>
      </c>
    </row>
    <row r="60" spans="1:8" ht="30.75" thickBot="1" x14ac:dyDescent="0.3">
      <c r="A60" s="102">
        <v>33</v>
      </c>
      <c r="B60" s="102" t="s">
        <v>230</v>
      </c>
      <c r="C60" s="102" t="s">
        <v>203</v>
      </c>
      <c r="D60" s="102" t="s">
        <v>231</v>
      </c>
      <c r="E60" s="102"/>
      <c r="F60" s="102">
        <v>23.2</v>
      </c>
      <c r="G60" s="102">
        <v>1</v>
      </c>
      <c r="H60" s="107">
        <f t="shared" si="1"/>
        <v>23.2</v>
      </c>
    </row>
    <row r="61" spans="1:8" ht="30.75" thickBot="1" x14ac:dyDescent="0.3">
      <c r="A61" s="102">
        <v>34</v>
      </c>
      <c r="B61" s="102" t="s">
        <v>232</v>
      </c>
      <c r="C61" s="102" t="s">
        <v>203</v>
      </c>
      <c r="D61" s="102" t="s">
        <v>233</v>
      </c>
      <c r="E61" s="102"/>
      <c r="F61" s="102">
        <v>4.5</v>
      </c>
      <c r="G61" s="102">
        <v>1</v>
      </c>
      <c r="H61" s="107">
        <f t="shared" si="1"/>
        <v>4.5</v>
      </c>
    </row>
    <row r="62" spans="1:8" ht="15.75" thickBot="1" x14ac:dyDescent="0.3">
      <c r="A62" s="102">
        <v>35</v>
      </c>
      <c r="B62" s="102" t="s">
        <v>234</v>
      </c>
      <c r="C62" s="102" t="s">
        <v>203</v>
      </c>
      <c r="D62" s="102" t="s">
        <v>235</v>
      </c>
      <c r="E62" s="102"/>
      <c r="F62" s="102">
        <v>8</v>
      </c>
      <c r="G62" s="102">
        <v>1</v>
      </c>
      <c r="H62" s="107">
        <f t="shared" si="1"/>
        <v>8</v>
      </c>
    </row>
    <row r="63" spans="1:8" ht="15.75" thickBot="1" x14ac:dyDescent="0.3">
      <c r="A63" s="102">
        <v>36</v>
      </c>
      <c r="B63" s="102" t="s">
        <v>236</v>
      </c>
      <c r="C63" s="102" t="s">
        <v>203</v>
      </c>
      <c r="D63" s="102" t="s">
        <v>237</v>
      </c>
      <c r="E63" s="102"/>
      <c r="F63" s="102">
        <v>3.8</v>
      </c>
      <c r="G63" s="102">
        <v>1</v>
      </c>
      <c r="H63" s="107">
        <f t="shared" si="1"/>
        <v>3.8</v>
      </c>
    </row>
    <row r="64" spans="1:8" ht="15.75" thickBot="1" x14ac:dyDescent="0.3">
      <c r="A64" s="102">
        <v>37</v>
      </c>
      <c r="B64" s="102" t="s">
        <v>238</v>
      </c>
      <c r="C64" s="102" t="s">
        <v>203</v>
      </c>
      <c r="D64" s="102" t="s">
        <v>239</v>
      </c>
      <c r="E64" s="102"/>
      <c r="F64" s="102">
        <v>48.8</v>
      </c>
      <c r="G64" s="102">
        <v>1</v>
      </c>
      <c r="H64" s="107">
        <f t="shared" si="1"/>
        <v>48.8</v>
      </c>
    </row>
    <row r="65" spans="1:8" ht="15.75" thickBot="1" x14ac:dyDescent="0.3">
      <c r="A65" s="180" t="s">
        <v>190</v>
      </c>
      <c r="B65" s="181"/>
      <c r="C65" s="181"/>
      <c r="D65" s="181"/>
      <c r="E65" s="181"/>
      <c r="F65" s="181"/>
      <c r="G65" s="182"/>
      <c r="H65" s="105">
        <f>SUM(H54:H64)</f>
        <v>140.30000000000001</v>
      </c>
    </row>
    <row r="66" spans="1:8" ht="15.75" thickBot="1" x14ac:dyDescent="0.3">
      <c r="A66" s="187" t="s">
        <v>240</v>
      </c>
      <c r="B66" s="188"/>
      <c r="C66" s="188"/>
      <c r="D66" s="188"/>
      <c r="E66" s="188"/>
      <c r="F66" s="188"/>
      <c r="G66" s="188"/>
      <c r="H66" s="189"/>
    </row>
    <row r="67" spans="1:8" ht="30.75" thickBot="1" x14ac:dyDescent="0.3">
      <c r="A67" s="102">
        <v>38</v>
      </c>
      <c r="B67" s="102" t="s">
        <v>241</v>
      </c>
      <c r="C67" s="102" t="s">
        <v>169</v>
      </c>
      <c r="D67" s="102" t="s">
        <v>242</v>
      </c>
      <c r="E67" s="102"/>
      <c r="F67" s="102">
        <v>8.8000000000000007</v>
      </c>
      <c r="G67" s="102">
        <v>1</v>
      </c>
      <c r="H67" s="107">
        <v>9</v>
      </c>
    </row>
    <row r="68" spans="1:8" ht="30.75" thickBot="1" x14ac:dyDescent="0.3">
      <c r="A68" s="102">
        <v>39</v>
      </c>
      <c r="B68" s="102" t="s">
        <v>243</v>
      </c>
      <c r="C68" s="102" t="s">
        <v>169</v>
      </c>
      <c r="D68" s="102" t="s">
        <v>244</v>
      </c>
      <c r="E68" s="102"/>
      <c r="F68" s="102">
        <v>2.6</v>
      </c>
      <c r="G68" s="102">
        <v>1</v>
      </c>
      <c r="H68" s="107">
        <v>3</v>
      </c>
    </row>
    <row r="69" spans="1:8" ht="45.75" thickBot="1" x14ac:dyDescent="0.3">
      <c r="A69" s="102">
        <v>40</v>
      </c>
      <c r="B69" s="102" t="s">
        <v>245</v>
      </c>
      <c r="C69" s="102" t="s">
        <v>169</v>
      </c>
      <c r="D69" s="102" t="s">
        <v>246</v>
      </c>
      <c r="E69" s="102"/>
      <c r="F69" s="102">
        <v>4.0999999999999996</v>
      </c>
      <c r="G69" s="102">
        <v>1</v>
      </c>
      <c r="H69" s="107">
        <v>4</v>
      </c>
    </row>
    <row r="70" spans="1:8" ht="30.75" thickBot="1" x14ac:dyDescent="0.3">
      <c r="A70" s="102">
        <v>41</v>
      </c>
      <c r="B70" s="102" t="s">
        <v>247</v>
      </c>
      <c r="C70" s="102" t="s">
        <v>169</v>
      </c>
      <c r="D70" s="102" t="s">
        <v>248</v>
      </c>
      <c r="E70" s="102"/>
      <c r="F70" s="102">
        <v>6.1</v>
      </c>
      <c r="G70" s="102">
        <v>1</v>
      </c>
      <c r="H70" s="107">
        <v>6</v>
      </c>
    </row>
    <row r="71" spans="1:8" ht="45.75" thickBot="1" x14ac:dyDescent="0.3">
      <c r="A71" s="102">
        <v>42</v>
      </c>
      <c r="B71" s="102" t="s">
        <v>249</v>
      </c>
      <c r="C71" s="102" t="s">
        <v>169</v>
      </c>
      <c r="D71" s="102" t="s">
        <v>250</v>
      </c>
      <c r="E71" s="102"/>
      <c r="F71" s="102">
        <v>11.3</v>
      </c>
      <c r="G71" s="102">
        <v>1</v>
      </c>
      <c r="H71" s="107">
        <v>11</v>
      </c>
    </row>
    <row r="72" spans="1:8" ht="45.75" thickBot="1" x14ac:dyDescent="0.3">
      <c r="A72" s="102">
        <v>43</v>
      </c>
      <c r="B72" s="102" t="s">
        <v>251</v>
      </c>
      <c r="C72" s="102" t="s">
        <v>169</v>
      </c>
      <c r="D72" s="102" t="s">
        <v>252</v>
      </c>
      <c r="E72" s="102"/>
      <c r="F72" s="102">
        <v>2</v>
      </c>
      <c r="G72" s="102">
        <v>1</v>
      </c>
      <c r="H72" s="107">
        <v>2</v>
      </c>
    </row>
    <row r="73" spans="1:8" ht="30.75" thickBot="1" x14ac:dyDescent="0.3">
      <c r="A73" s="102">
        <v>44</v>
      </c>
      <c r="B73" s="102" t="s">
        <v>253</v>
      </c>
      <c r="C73" s="102" t="s">
        <v>169</v>
      </c>
      <c r="D73" s="102" t="s">
        <v>254</v>
      </c>
      <c r="E73" s="102"/>
      <c r="F73" s="102">
        <v>4.5</v>
      </c>
      <c r="G73" s="102">
        <v>1</v>
      </c>
      <c r="H73" s="107">
        <v>5</v>
      </c>
    </row>
    <row r="74" spans="1:8" ht="45.75" thickBot="1" x14ac:dyDescent="0.3">
      <c r="A74" s="102">
        <v>45</v>
      </c>
      <c r="B74" s="102" t="s">
        <v>255</v>
      </c>
      <c r="C74" s="102" t="s">
        <v>169</v>
      </c>
      <c r="D74" s="102" t="s">
        <v>256</v>
      </c>
      <c r="E74" s="102"/>
      <c r="F74" s="102">
        <v>19.7</v>
      </c>
      <c r="G74" s="102">
        <v>1</v>
      </c>
      <c r="H74" s="107">
        <v>20</v>
      </c>
    </row>
    <row r="75" spans="1:8" ht="45.75" thickBot="1" x14ac:dyDescent="0.3">
      <c r="A75" s="110">
        <v>46</v>
      </c>
      <c r="B75" s="110" t="s">
        <v>257</v>
      </c>
      <c r="C75" s="110" t="s">
        <v>169</v>
      </c>
      <c r="D75" s="110" t="s">
        <v>258</v>
      </c>
      <c r="E75" s="110"/>
      <c r="F75" s="110">
        <v>23.5</v>
      </c>
      <c r="G75" s="102">
        <v>1</v>
      </c>
      <c r="H75" s="111">
        <v>24</v>
      </c>
    </row>
    <row r="76" spans="1:8" ht="30.75" thickBot="1" x14ac:dyDescent="0.3">
      <c r="A76" s="102">
        <v>47</v>
      </c>
      <c r="B76" s="102" t="s">
        <v>259</v>
      </c>
      <c r="C76" s="102" t="s">
        <v>169</v>
      </c>
      <c r="D76" s="102" t="s">
        <v>260</v>
      </c>
      <c r="E76" s="102"/>
      <c r="F76" s="102">
        <v>9.6</v>
      </c>
      <c r="G76" s="102">
        <v>1</v>
      </c>
      <c r="H76" s="107">
        <v>10</v>
      </c>
    </row>
    <row r="77" spans="1:8" ht="15.75" thickBot="1" x14ac:dyDescent="0.3">
      <c r="A77" s="102">
        <v>48</v>
      </c>
      <c r="B77" s="102" t="s">
        <v>261</v>
      </c>
      <c r="C77" s="102" t="s">
        <v>169</v>
      </c>
      <c r="D77" s="102" t="s">
        <v>262</v>
      </c>
      <c r="E77" s="102"/>
      <c r="F77" s="102">
        <v>0.5</v>
      </c>
      <c r="G77" s="102">
        <v>1</v>
      </c>
      <c r="H77" s="107">
        <v>1</v>
      </c>
    </row>
    <row r="78" spans="1:8" ht="45.75" thickBot="1" x14ac:dyDescent="0.3">
      <c r="A78" s="102">
        <v>49</v>
      </c>
      <c r="B78" s="102" t="s">
        <v>263</v>
      </c>
      <c r="C78" s="102" t="s">
        <v>169</v>
      </c>
      <c r="D78" s="102" t="s">
        <v>264</v>
      </c>
      <c r="E78" s="102"/>
      <c r="F78" s="102">
        <v>14</v>
      </c>
      <c r="G78" s="102">
        <v>1</v>
      </c>
      <c r="H78" s="107">
        <v>14</v>
      </c>
    </row>
    <row r="79" spans="1:8" ht="45.75" thickBot="1" x14ac:dyDescent="0.3">
      <c r="A79" s="102">
        <v>50</v>
      </c>
      <c r="B79" s="102" t="s">
        <v>265</v>
      </c>
      <c r="C79" s="102" t="s">
        <v>169</v>
      </c>
      <c r="D79" s="102" t="s">
        <v>266</v>
      </c>
      <c r="E79" s="102"/>
      <c r="F79" s="102">
        <v>21.5</v>
      </c>
      <c r="G79" s="102">
        <v>1</v>
      </c>
      <c r="H79" s="107">
        <v>22</v>
      </c>
    </row>
    <row r="80" spans="1:8" ht="30.75" thickBot="1" x14ac:dyDescent="0.3">
      <c r="A80" s="102">
        <v>51</v>
      </c>
      <c r="B80" s="102" t="s">
        <v>267</v>
      </c>
      <c r="C80" s="102" t="s">
        <v>169</v>
      </c>
      <c r="D80" s="102" t="s">
        <v>268</v>
      </c>
      <c r="E80" s="102"/>
      <c r="F80" s="102">
        <v>3.1</v>
      </c>
      <c r="G80" s="102">
        <v>1</v>
      </c>
      <c r="H80" s="107">
        <v>3</v>
      </c>
    </row>
    <row r="81" spans="1:8" ht="30.75" thickBot="1" x14ac:dyDescent="0.3">
      <c r="A81" s="102">
        <v>52</v>
      </c>
      <c r="B81" s="102" t="s">
        <v>269</v>
      </c>
      <c r="C81" s="102" t="s">
        <v>169</v>
      </c>
      <c r="D81" s="102" t="s">
        <v>270</v>
      </c>
      <c r="E81" s="102"/>
      <c r="F81" s="102">
        <v>2.7</v>
      </c>
      <c r="G81" s="102">
        <v>1</v>
      </c>
      <c r="H81" s="107">
        <v>3</v>
      </c>
    </row>
    <row r="82" spans="1:8" ht="30.75" thickBot="1" x14ac:dyDescent="0.3">
      <c r="A82" s="102">
        <v>53</v>
      </c>
      <c r="B82" s="102" t="s">
        <v>271</v>
      </c>
      <c r="C82" s="102" t="s">
        <v>169</v>
      </c>
      <c r="D82" s="102" t="s">
        <v>272</v>
      </c>
      <c r="E82" s="102"/>
      <c r="F82" s="102">
        <v>8.6999999999999993</v>
      </c>
      <c r="G82" s="102">
        <v>1</v>
      </c>
      <c r="H82" s="107">
        <v>9</v>
      </c>
    </row>
    <row r="83" spans="1:8" ht="30.75" thickBot="1" x14ac:dyDescent="0.3">
      <c r="A83" s="102">
        <v>54</v>
      </c>
      <c r="B83" s="102" t="s">
        <v>273</v>
      </c>
      <c r="C83" s="102" t="s">
        <v>169</v>
      </c>
      <c r="D83" s="102" t="s">
        <v>274</v>
      </c>
      <c r="E83" s="102"/>
      <c r="F83" s="102">
        <v>12.2</v>
      </c>
      <c r="G83" s="102">
        <v>1</v>
      </c>
      <c r="H83" s="107">
        <v>12</v>
      </c>
    </row>
    <row r="84" spans="1:8" ht="30.75" thickBot="1" x14ac:dyDescent="0.3">
      <c r="A84" s="102">
        <v>55</v>
      </c>
      <c r="B84" s="102" t="s">
        <v>275</v>
      </c>
      <c r="C84" s="102" t="s">
        <v>169</v>
      </c>
      <c r="D84" s="102" t="s">
        <v>276</v>
      </c>
      <c r="E84" s="102"/>
      <c r="F84" s="102">
        <v>7.4</v>
      </c>
      <c r="G84" s="102">
        <v>1</v>
      </c>
      <c r="H84" s="107">
        <v>7</v>
      </c>
    </row>
    <row r="85" spans="1:8" ht="30.75" thickBot="1" x14ac:dyDescent="0.3">
      <c r="A85" s="102">
        <v>56</v>
      </c>
      <c r="B85" s="102" t="s">
        <v>277</v>
      </c>
      <c r="C85" s="102" t="s">
        <v>169</v>
      </c>
      <c r="D85" s="102" t="s">
        <v>278</v>
      </c>
      <c r="E85" s="102"/>
      <c r="F85" s="102">
        <v>7.1</v>
      </c>
      <c r="G85" s="102">
        <v>1</v>
      </c>
      <c r="H85" s="107">
        <v>7</v>
      </c>
    </row>
    <row r="86" spans="1:8" ht="30.75" thickBot="1" x14ac:dyDescent="0.3">
      <c r="A86" s="102">
        <v>57</v>
      </c>
      <c r="B86" s="102" t="s">
        <v>279</v>
      </c>
      <c r="C86" s="102" t="s">
        <v>169</v>
      </c>
      <c r="D86" s="102" t="s">
        <v>280</v>
      </c>
      <c r="E86" s="102"/>
      <c r="F86" s="102">
        <v>3.1</v>
      </c>
      <c r="G86" s="102">
        <v>1</v>
      </c>
      <c r="H86" s="107">
        <v>3</v>
      </c>
    </row>
    <row r="87" spans="1:8" ht="30.75" thickBot="1" x14ac:dyDescent="0.3">
      <c r="A87" s="102">
        <v>58</v>
      </c>
      <c r="B87" s="102" t="s">
        <v>281</v>
      </c>
      <c r="C87" s="102" t="s">
        <v>169</v>
      </c>
      <c r="D87" s="102" t="s">
        <v>282</v>
      </c>
      <c r="E87" s="102"/>
      <c r="F87" s="102">
        <v>8.1</v>
      </c>
      <c r="G87" s="102">
        <v>1</v>
      </c>
      <c r="H87" s="107">
        <v>8</v>
      </c>
    </row>
    <row r="88" spans="1:8" ht="15.75" thickBot="1" x14ac:dyDescent="0.3">
      <c r="A88" s="180" t="s">
        <v>190</v>
      </c>
      <c r="B88" s="181"/>
      <c r="C88" s="181"/>
      <c r="D88" s="181"/>
      <c r="E88" s="181"/>
      <c r="F88" s="181"/>
      <c r="G88" s="182"/>
      <c r="H88" s="105">
        <f>SUM(H67:H87)</f>
        <v>183</v>
      </c>
    </row>
    <row r="89" spans="1:8" ht="15.75" thickBot="1" x14ac:dyDescent="0.3">
      <c r="A89" s="180" t="s">
        <v>283</v>
      </c>
      <c r="B89" s="181"/>
      <c r="C89" s="181"/>
      <c r="D89" s="181"/>
      <c r="E89" s="181"/>
      <c r="F89" s="181"/>
      <c r="G89" s="182"/>
      <c r="H89" s="105">
        <f>H88+H65+H52</f>
        <v>776.5</v>
      </c>
    </row>
    <row r="90" spans="1:8" ht="15.75" thickBot="1" x14ac:dyDescent="0.3">
      <c r="A90" s="180" t="s">
        <v>284</v>
      </c>
      <c r="B90" s="181"/>
      <c r="C90" s="181"/>
      <c r="D90" s="181"/>
      <c r="E90" s="181"/>
      <c r="F90" s="181"/>
      <c r="G90" s="181"/>
      <c r="H90" s="182"/>
    </row>
    <row r="91" spans="1:8" ht="45.75" thickBot="1" x14ac:dyDescent="0.3">
      <c r="A91" s="102">
        <v>59</v>
      </c>
      <c r="B91" s="102" t="s">
        <v>285</v>
      </c>
      <c r="C91" s="102" t="s">
        <v>157</v>
      </c>
      <c r="D91" s="102" t="s">
        <v>158</v>
      </c>
      <c r="E91" s="102"/>
      <c r="F91" s="102">
        <v>18.5</v>
      </c>
      <c r="G91" s="102">
        <v>1</v>
      </c>
      <c r="H91" s="107">
        <f>F91*G91</f>
        <v>18.5</v>
      </c>
    </row>
    <row r="92" spans="1:8" ht="75.75" thickBot="1" x14ac:dyDescent="0.3">
      <c r="A92" s="102">
        <v>60</v>
      </c>
      <c r="B92" s="102" t="s">
        <v>160</v>
      </c>
      <c r="C92" s="102" t="s">
        <v>157</v>
      </c>
      <c r="D92" s="102" t="s">
        <v>161</v>
      </c>
      <c r="E92" s="102"/>
      <c r="F92" s="102">
        <v>2.1</v>
      </c>
      <c r="G92" s="102">
        <v>1</v>
      </c>
      <c r="H92" s="107">
        <f>F92*G92</f>
        <v>2.1</v>
      </c>
    </row>
    <row r="93" spans="1:8" ht="60.75" thickBot="1" x14ac:dyDescent="0.3">
      <c r="A93" s="102">
        <v>61</v>
      </c>
      <c r="B93" s="102" t="s">
        <v>286</v>
      </c>
      <c r="C93" s="102" t="s">
        <v>157</v>
      </c>
      <c r="D93" s="102" t="s">
        <v>161</v>
      </c>
      <c r="E93" s="102"/>
      <c r="F93" s="102">
        <v>2.1</v>
      </c>
      <c r="G93" s="102">
        <v>1</v>
      </c>
      <c r="H93" s="107">
        <f>F93*G93</f>
        <v>2.1</v>
      </c>
    </row>
    <row r="94" spans="1:8" ht="45.75" thickBot="1" x14ac:dyDescent="0.3">
      <c r="A94" s="102">
        <v>62</v>
      </c>
      <c r="B94" s="102" t="s">
        <v>287</v>
      </c>
      <c r="C94" s="102" t="s">
        <v>164</v>
      </c>
      <c r="D94" s="102" t="s">
        <v>165</v>
      </c>
      <c r="E94" s="102"/>
      <c r="F94" s="102">
        <v>7.5</v>
      </c>
      <c r="G94" s="102">
        <v>1</v>
      </c>
      <c r="H94" s="107">
        <f>F94*G94</f>
        <v>7.5</v>
      </c>
    </row>
    <row r="95" spans="1:8" x14ac:dyDescent="0.25">
      <c r="A95" s="176">
        <v>63</v>
      </c>
      <c r="B95" s="176" t="s">
        <v>288</v>
      </c>
      <c r="C95" s="176" t="s">
        <v>164</v>
      </c>
      <c r="D95" s="102" t="s">
        <v>165</v>
      </c>
      <c r="E95" s="176">
        <v>0.4</v>
      </c>
      <c r="F95" s="176">
        <v>7.5</v>
      </c>
      <c r="G95" s="176">
        <v>1</v>
      </c>
      <c r="H95" s="178">
        <f>F95*G95</f>
        <v>7.5</v>
      </c>
    </row>
    <row r="96" spans="1:8" ht="15.75" thickBot="1" x14ac:dyDescent="0.3">
      <c r="A96" s="177"/>
      <c r="B96" s="177"/>
      <c r="C96" s="177"/>
      <c r="D96" s="103" t="s">
        <v>167</v>
      </c>
      <c r="E96" s="177"/>
      <c r="F96" s="177"/>
      <c r="G96" s="177"/>
      <c r="H96" s="179"/>
    </row>
    <row r="97" spans="1:8" ht="15.75" thickBot="1" x14ac:dyDescent="0.3">
      <c r="A97" s="102">
        <v>64</v>
      </c>
      <c r="B97" s="102" t="s">
        <v>181</v>
      </c>
      <c r="C97" s="102" t="s">
        <v>182</v>
      </c>
      <c r="D97" s="102" t="s">
        <v>183</v>
      </c>
      <c r="E97" s="102"/>
      <c r="F97" s="102">
        <v>161</v>
      </c>
      <c r="G97" s="102">
        <v>1</v>
      </c>
      <c r="H97" s="107">
        <f>F97*G97</f>
        <v>161</v>
      </c>
    </row>
    <row r="98" spans="1:8" ht="30.75" thickBot="1" x14ac:dyDescent="0.3">
      <c r="A98" s="110">
        <v>65</v>
      </c>
      <c r="B98" s="102" t="s">
        <v>184</v>
      </c>
      <c r="C98" s="110" t="s">
        <v>185</v>
      </c>
      <c r="D98" s="110" t="s">
        <v>186</v>
      </c>
      <c r="E98" s="110"/>
      <c r="F98" s="110">
        <v>17.8</v>
      </c>
      <c r="G98" s="110">
        <v>0.3</v>
      </c>
      <c r="H98" s="107">
        <f>F98*G98</f>
        <v>5.34</v>
      </c>
    </row>
    <row r="99" spans="1:8" ht="45.75" thickBot="1" x14ac:dyDescent="0.3">
      <c r="A99" s="102">
        <v>66</v>
      </c>
      <c r="B99" s="103" t="s">
        <v>289</v>
      </c>
      <c r="C99" s="103" t="s">
        <v>192</v>
      </c>
      <c r="D99" s="103" t="s">
        <v>290</v>
      </c>
      <c r="E99" s="103"/>
      <c r="F99" s="103">
        <v>0.2</v>
      </c>
      <c r="G99" s="112">
        <f>H89</f>
        <v>776.5</v>
      </c>
      <c r="H99" s="107">
        <f>F99*G99</f>
        <v>155.30000000000001</v>
      </c>
    </row>
    <row r="100" spans="1:8" ht="90.75" thickBot="1" x14ac:dyDescent="0.3">
      <c r="A100" s="102">
        <v>67</v>
      </c>
      <c r="B100" s="102" t="s">
        <v>291</v>
      </c>
      <c r="C100" s="102" t="s">
        <v>292</v>
      </c>
      <c r="D100" s="102" t="s">
        <v>293</v>
      </c>
      <c r="E100" s="102">
        <v>0.18</v>
      </c>
      <c r="F100" s="102"/>
      <c r="G100" s="109">
        <f>SUM(H91:H99)</f>
        <v>359.34000000000003</v>
      </c>
      <c r="H100" s="107">
        <f>E100*G100</f>
        <v>64.681200000000004</v>
      </c>
    </row>
    <row r="101" spans="1:8" ht="15.75" thickBot="1" x14ac:dyDescent="0.3">
      <c r="A101" s="180" t="s">
        <v>294</v>
      </c>
      <c r="B101" s="181"/>
      <c r="C101" s="181"/>
      <c r="D101" s="181"/>
      <c r="E101" s="181"/>
      <c r="F101" s="181"/>
      <c r="G101" s="182"/>
      <c r="H101" s="105">
        <f>SUM(H91:H100)</f>
        <v>424.02120000000002</v>
      </c>
    </row>
    <row r="102" spans="1:8" ht="15.75" thickBot="1" x14ac:dyDescent="0.3">
      <c r="A102" s="180" t="s">
        <v>295</v>
      </c>
      <c r="B102" s="181"/>
      <c r="C102" s="181"/>
      <c r="D102" s="181"/>
      <c r="E102" s="181"/>
      <c r="F102" s="181"/>
      <c r="G102" s="182"/>
      <c r="H102" s="105">
        <f>H101+H89+H40+H13</f>
        <v>2091.4717250000003</v>
      </c>
    </row>
    <row r="103" spans="1:8" ht="75.75" thickBot="1" x14ac:dyDescent="0.3">
      <c r="A103" s="102">
        <v>68</v>
      </c>
      <c r="B103" s="102" t="s">
        <v>296</v>
      </c>
      <c r="C103" s="103" t="s">
        <v>192</v>
      </c>
      <c r="D103" s="102" t="s">
        <v>297</v>
      </c>
      <c r="E103" s="102">
        <v>52.94</v>
      </c>
      <c r="F103" s="102"/>
      <c r="G103" s="113">
        <f>H102</f>
        <v>2091.4717250000003</v>
      </c>
      <c r="H103" s="107">
        <f>G103*E103</f>
        <v>110722.51312150001</v>
      </c>
    </row>
    <row r="104" spans="1:8" ht="15.75" thickBot="1" x14ac:dyDescent="0.3">
      <c r="A104" s="180" t="s">
        <v>298</v>
      </c>
      <c r="B104" s="181"/>
      <c r="C104" s="181"/>
      <c r="D104" s="181"/>
      <c r="E104" s="181"/>
      <c r="F104" s="181"/>
      <c r="G104" s="182"/>
      <c r="H104" s="105">
        <f>H103</f>
        <v>110722.51312150001</v>
      </c>
    </row>
    <row r="105" spans="1:8" ht="15.75" thickBot="1" x14ac:dyDescent="0.3">
      <c r="A105" s="180" t="s">
        <v>299</v>
      </c>
      <c r="B105" s="181"/>
      <c r="C105" s="181"/>
      <c r="D105" s="181"/>
      <c r="E105" s="181"/>
      <c r="F105" s="181"/>
      <c r="G105" s="182"/>
      <c r="H105" s="105">
        <f>H104*0.2</f>
        <v>22144.502624300003</v>
      </c>
    </row>
    <row r="106" spans="1:8" ht="15.75" customHeight="1" thickBot="1" x14ac:dyDescent="0.3">
      <c r="A106" s="180" t="s">
        <v>298</v>
      </c>
      <c r="B106" s="181"/>
      <c r="C106" s="181"/>
      <c r="D106" s="181"/>
      <c r="E106" s="181"/>
      <c r="F106" s="181"/>
      <c r="G106" s="182"/>
      <c r="H106" s="114">
        <f>H104+H105</f>
        <v>132867.01574580002</v>
      </c>
    </row>
    <row r="107" spans="1:8" x14ac:dyDescent="0.25">
      <c r="A107" s="106"/>
      <c r="B107" s="106"/>
      <c r="C107" s="106"/>
      <c r="D107" s="106"/>
      <c r="E107" s="106"/>
      <c r="F107" s="106"/>
      <c r="G107" s="106"/>
      <c r="H107" s="115"/>
    </row>
  </sheetData>
  <mergeCells count="101">
    <mergeCell ref="A106:G106"/>
    <mergeCell ref="G95:G96"/>
    <mergeCell ref="H95:H96"/>
    <mergeCell ref="A101:G101"/>
    <mergeCell ref="A102:G102"/>
    <mergeCell ref="A104:G104"/>
    <mergeCell ref="A105:G105"/>
    <mergeCell ref="A65:G65"/>
    <mergeCell ref="A66:H66"/>
    <mergeCell ref="A88:G88"/>
    <mergeCell ref="A89:G89"/>
    <mergeCell ref="A90:H90"/>
    <mergeCell ref="A95:A96"/>
    <mergeCell ref="B95:B96"/>
    <mergeCell ref="C95:C96"/>
    <mergeCell ref="E95:E96"/>
    <mergeCell ref="F95:F96"/>
    <mergeCell ref="H38:H39"/>
    <mergeCell ref="A40:G40"/>
    <mergeCell ref="A41:H41"/>
    <mergeCell ref="A42:H42"/>
    <mergeCell ref="A52:G52"/>
    <mergeCell ref="A53:H53"/>
    <mergeCell ref="A35:G35"/>
    <mergeCell ref="A38:A39"/>
    <mergeCell ref="B38:B39"/>
    <mergeCell ref="C38:C39"/>
    <mergeCell ref="D38:D39"/>
    <mergeCell ref="E38:E39"/>
    <mergeCell ref="F38:F39"/>
    <mergeCell ref="G38:G39"/>
    <mergeCell ref="H29:H30"/>
    <mergeCell ref="A33:A34"/>
    <mergeCell ref="B33:B34"/>
    <mergeCell ref="C33:C34"/>
    <mergeCell ref="E33:E34"/>
    <mergeCell ref="F33:F34"/>
    <mergeCell ref="G33:G34"/>
    <mergeCell ref="H33:H34"/>
    <mergeCell ref="A29:A30"/>
    <mergeCell ref="B29:B30"/>
    <mergeCell ref="C29:C30"/>
    <mergeCell ref="E29:E30"/>
    <mergeCell ref="F29:F30"/>
    <mergeCell ref="G29:G30"/>
    <mergeCell ref="H24:H25"/>
    <mergeCell ref="A27:A28"/>
    <mergeCell ref="B27:B28"/>
    <mergeCell ref="C27:C28"/>
    <mergeCell ref="E27:E28"/>
    <mergeCell ref="F27:F28"/>
    <mergeCell ref="G27:G28"/>
    <mergeCell ref="H27:H28"/>
    <mergeCell ref="A24:A25"/>
    <mergeCell ref="B24:B25"/>
    <mergeCell ref="C24:C25"/>
    <mergeCell ref="E24:E25"/>
    <mergeCell ref="F24:F25"/>
    <mergeCell ref="G24:G25"/>
    <mergeCell ref="A22:A23"/>
    <mergeCell ref="B22:B23"/>
    <mergeCell ref="C22:C23"/>
    <mergeCell ref="E22:E23"/>
    <mergeCell ref="F22:F23"/>
    <mergeCell ref="G22:G23"/>
    <mergeCell ref="H22:H23"/>
    <mergeCell ref="A20:A21"/>
    <mergeCell ref="B20:B21"/>
    <mergeCell ref="C20:C21"/>
    <mergeCell ref="E20:E21"/>
    <mergeCell ref="F20:F21"/>
    <mergeCell ref="G20:G21"/>
    <mergeCell ref="A14:H14"/>
    <mergeCell ref="A15:A16"/>
    <mergeCell ref="B15:B16"/>
    <mergeCell ref="C15:C16"/>
    <mergeCell ref="E15:E16"/>
    <mergeCell ref="F15:F16"/>
    <mergeCell ref="G15:G16"/>
    <mergeCell ref="H15:H16"/>
    <mergeCell ref="H20:H21"/>
    <mergeCell ref="A9:H9"/>
    <mergeCell ref="A10:A12"/>
    <mergeCell ref="B10:B12"/>
    <mergeCell ref="C10:C12"/>
    <mergeCell ref="E10:E12"/>
    <mergeCell ref="F10:F12"/>
    <mergeCell ref="G10:G12"/>
    <mergeCell ref="H10:H12"/>
    <mergeCell ref="A13:G13"/>
    <mergeCell ref="A1:H1"/>
    <mergeCell ref="B2:H2"/>
    <mergeCell ref="A3:E3"/>
    <mergeCell ref="A4:D4"/>
    <mergeCell ref="B7:B8"/>
    <mergeCell ref="C7:C8"/>
    <mergeCell ref="D7:D8"/>
    <mergeCell ref="E7:E8"/>
    <mergeCell ref="F7:F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BreakPreview" topLeftCell="B1" zoomScaleSheetLayoutView="100" workbookViewId="0">
      <selection activeCell="B2" sqref="B2:F4"/>
    </sheetView>
  </sheetViews>
  <sheetFormatPr defaultColWidth="9.140625" defaultRowHeight="12.75" x14ac:dyDescent="0.2"/>
  <cols>
    <col min="1" max="1" width="2.7109375" style="1" hidden="1" customWidth="1"/>
    <col min="2" max="2" width="5" style="14" customWidth="1"/>
    <col min="3" max="3" width="23.5703125" style="1" customWidth="1"/>
    <col min="4" max="4" width="84.42578125" style="1" customWidth="1"/>
    <col min="5" max="5" width="18.5703125" style="1" customWidth="1"/>
    <col min="6" max="6" width="12.5703125" style="4" customWidth="1"/>
    <col min="7" max="7" width="15.42578125" style="1" customWidth="1"/>
    <col min="8" max="8" width="18.28515625" style="1" customWidth="1"/>
    <col min="9" max="9" width="3.140625" style="1" customWidth="1"/>
    <col min="10" max="10" width="3.7109375" style="1" customWidth="1"/>
    <col min="11" max="11" width="16.42578125" style="1" customWidth="1"/>
    <col min="12" max="12" width="12" style="1" customWidth="1"/>
    <col min="13" max="13" width="13.28515625" style="1" customWidth="1"/>
    <col min="14" max="14" width="11.7109375" style="1" bestFit="1" customWidth="1"/>
    <col min="15" max="16384" width="9.140625" style="1"/>
  </cols>
  <sheetData>
    <row r="1" spans="2:11" ht="15.75" x14ac:dyDescent="0.25">
      <c r="B1" s="20"/>
    </row>
    <row r="2" spans="2:11" ht="9.75" customHeight="1" x14ac:dyDescent="0.2">
      <c r="B2" s="122" t="s">
        <v>310</v>
      </c>
      <c r="C2" s="122"/>
      <c r="D2" s="122"/>
      <c r="E2" s="122"/>
      <c r="F2" s="122"/>
    </row>
    <row r="3" spans="2:11" s="3" customFormat="1" ht="13.5" customHeight="1" x14ac:dyDescent="0.25">
      <c r="B3" s="122"/>
      <c r="C3" s="122"/>
      <c r="D3" s="122"/>
      <c r="E3" s="122"/>
      <c r="F3" s="122"/>
      <c r="G3" s="1"/>
      <c r="H3" s="1"/>
      <c r="I3" s="1"/>
      <c r="J3" s="1"/>
      <c r="K3" s="1"/>
    </row>
    <row r="4" spans="2:11" s="3" customFormat="1" ht="51.75" customHeight="1" x14ac:dyDescent="0.25">
      <c r="B4" s="122"/>
      <c r="C4" s="122"/>
      <c r="D4" s="122"/>
      <c r="E4" s="122"/>
      <c r="F4" s="122"/>
      <c r="G4" s="1"/>
      <c r="H4" s="1"/>
      <c r="I4" s="1"/>
      <c r="J4" s="1"/>
      <c r="K4" s="1"/>
    </row>
    <row r="5" spans="2:11" s="3" customFormat="1" ht="28.5" customHeight="1" x14ac:dyDescent="0.25">
      <c r="B5" s="21"/>
      <c r="C5" s="22"/>
      <c r="D5" s="55" t="s">
        <v>138</v>
      </c>
      <c r="E5" s="22"/>
      <c r="F5" s="23"/>
      <c r="G5" s="1"/>
      <c r="H5" s="1"/>
      <c r="I5" s="1"/>
      <c r="J5" s="1"/>
      <c r="K5" s="1"/>
    </row>
    <row r="6" spans="2:11" s="6" customFormat="1" ht="15.75" x14ac:dyDescent="0.25">
      <c r="B6" s="11"/>
      <c r="C6" s="5"/>
      <c r="D6" s="5"/>
      <c r="E6" s="5"/>
      <c r="F6" s="9"/>
      <c r="G6" s="1"/>
      <c r="H6" s="1"/>
      <c r="I6" s="1"/>
      <c r="J6" s="1"/>
      <c r="K6" s="1"/>
    </row>
    <row r="7" spans="2:11" s="45" customFormat="1" ht="25.5" customHeight="1" x14ac:dyDescent="0.2">
      <c r="B7" s="46"/>
      <c r="C7" s="47" t="s">
        <v>27</v>
      </c>
      <c r="D7" s="47"/>
      <c r="E7" s="47"/>
      <c r="F7" s="48"/>
      <c r="G7" s="49"/>
      <c r="H7" s="49"/>
      <c r="I7" s="49"/>
      <c r="J7" s="49"/>
      <c r="K7" s="49"/>
    </row>
    <row r="8" spans="2:11" s="3" customFormat="1" ht="24" customHeight="1" x14ac:dyDescent="0.25">
      <c r="B8" s="12"/>
      <c r="C8" s="5" t="s">
        <v>83</v>
      </c>
      <c r="D8" s="5"/>
      <c r="E8" s="5"/>
      <c r="F8" s="9"/>
      <c r="G8" s="9"/>
      <c r="H8" s="9"/>
      <c r="I8" s="4"/>
    </row>
    <row r="9" spans="2:11" ht="51.75" thickBot="1" x14ac:dyDescent="0.25">
      <c r="B9" s="15" t="s">
        <v>0</v>
      </c>
      <c r="C9" s="60" t="s">
        <v>32</v>
      </c>
      <c r="D9" s="60" t="s">
        <v>31</v>
      </c>
      <c r="E9" s="60" t="s">
        <v>12</v>
      </c>
      <c r="F9" s="16" t="s">
        <v>62</v>
      </c>
    </row>
    <row r="10" spans="2:11" ht="26.25" customHeight="1" thickBot="1" x14ac:dyDescent="0.25">
      <c r="B10" s="24">
        <v>1</v>
      </c>
      <c r="C10" s="133" t="s">
        <v>29</v>
      </c>
      <c r="D10" s="134"/>
      <c r="E10" s="134"/>
      <c r="F10" s="25">
        <f>F12</f>
        <v>2083.9</v>
      </c>
    </row>
    <row r="11" spans="2:11" ht="24" customHeight="1" x14ac:dyDescent="0.2">
      <c r="B11" s="135" t="s">
        <v>13</v>
      </c>
      <c r="C11" s="137" t="s">
        <v>35</v>
      </c>
      <c r="D11" s="193" t="s">
        <v>44</v>
      </c>
      <c r="E11" s="194"/>
      <c r="F11" s="26"/>
    </row>
    <row r="12" spans="2:11" ht="30" customHeight="1" thickBot="1" x14ac:dyDescent="0.25">
      <c r="B12" s="136"/>
      <c r="C12" s="138"/>
      <c r="D12" s="27" t="s">
        <v>33</v>
      </c>
      <c r="E12" s="53" t="s">
        <v>63</v>
      </c>
      <c r="F12" s="28">
        <f>2.29*0.91*1000</f>
        <v>2083.9</v>
      </c>
    </row>
    <row r="13" spans="2:11" ht="26.25" customHeight="1" thickBot="1" x14ac:dyDescent="0.25">
      <c r="B13" s="24" t="s">
        <v>9</v>
      </c>
      <c r="C13" s="133" t="s">
        <v>68</v>
      </c>
      <c r="D13" s="134"/>
      <c r="E13" s="134"/>
      <c r="F13" s="25">
        <f>F15</f>
        <v>64959.999999999993</v>
      </c>
    </row>
    <row r="14" spans="2:11" ht="24" customHeight="1" x14ac:dyDescent="0.2">
      <c r="B14" s="135" t="s">
        <v>15</v>
      </c>
      <c r="C14" s="137" t="s">
        <v>43</v>
      </c>
      <c r="D14" s="193" t="s">
        <v>30</v>
      </c>
      <c r="E14" s="194"/>
      <c r="F14" s="26"/>
    </row>
    <row r="15" spans="2:11" ht="30" customHeight="1" thickBot="1" x14ac:dyDescent="0.25">
      <c r="B15" s="136"/>
      <c r="C15" s="138"/>
      <c r="D15" s="27" t="s">
        <v>67</v>
      </c>
      <c r="E15" s="53" t="s">
        <v>66</v>
      </c>
      <c r="F15" s="28">
        <f>1160*0.16*0.35*1*1000</f>
        <v>64959.999999999993</v>
      </c>
    </row>
    <row r="16" spans="2:11" ht="26.25" customHeight="1" thickBot="1" x14ac:dyDescent="0.25">
      <c r="B16" s="24" t="s">
        <v>18</v>
      </c>
      <c r="C16" s="133" t="s">
        <v>28</v>
      </c>
      <c r="D16" s="134"/>
      <c r="E16" s="134"/>
      <c r="F16" s="25">
        <f>F18+F20+F22+F24</f>
        <v>170437.5</v>
      </c>
    </row>
    <row r="17" spans="2:6" ht="24" customHeight="1" x14ac:dyDescent="0.2">
      <c r="B17" s="135" t="s">
        <v>39</v>
      </c>
      <c r="C17" s="137" t="s">
        <v>34</v>
      </c>
      <c r="D17" s="193" t="s">
        <v>30</v>
      </c>
      <c r="E17" s="194"/>
      <c r="F17" s="26"/>
    </row>
    <row r="18" spans="2:6" ht="30" customHeight="1" thickBot="1" x14ac:dyDescent="0.25">
      <c r="B18" s="136"/>
      <c r="C18" s="138"/>
      <c r="D18" s="27" t="s">
        <v>70</v>
      </c>
      <c r="E18" s="53" t="s">
        <v>71</v>
      </c>
      <c r="F18" s="28">
        <f>450*0.3*1.8*1*0.5*1000</f>
        <v>121500</v>
      </c>
    </row>
    <row r="19" spans="2:6" ht="24" customHeight="1" x14ac:dyDescent="0.2">
      <c r="B19" s="135" t="s">
        <v>40</v>
      </c>
      <c r="C19" s="137" t="s">
        <v>36</v>
      </c>
      <c r="D19" s="193" t="s">
        <v>30</v>
      </c>
      <c r="E19" s="194"/>
      <c r="F19" s="26"/>
    </row>
    <row r="20" spans="2:6" ht="30" customHeight="1" thickBot="1" x14ac:dyDescent="0.25">
      <c r="B20" s="136"/>
      <c r="C20" s="138"/>
      <c r="D20" s="27" t="s">
        <v>72</v>
      </c>
      <c r="E20" s="53" t="s">
        <v>73</v>
      </c>
      <c r="F20" s="28">
        <f>25.9*0.85*1*0.5*1000</f>
        <v>11007.499999999998</v>
      </c>
    </row>
    <row r="21" spans="2:6" ht="24" customHeight="1" x14ac:dyDescent="0.2">
      <c r="B21" s="135" t="s">
        <v>41</v>
      </c>
      <c r="C21" s="137" t="s">
        <v>37</v>
      </c>
      <c r="D21" s="193" t="s">
        <v>30</v>
      </c>
      <c r="E21" s="194"/>
      <c r="F21" s="26"/>
    </row>
    <row r="22" spans="2:6" ht="30" customHeight="1" thickBot="1" x14ac:dyDescent="0.25">
      <c r="B22" s="136"/>
      <c r="C22" s="138"/>
      <c r="D22" s="27" t="s">
        <v>74</v>
      </c>
      <c r="E22" s="53" t="s">
        <v>75</v>
      </c>
      <c r="F22" s="28">
        <f>55*1*0.5*1000</f>
        <v>27500</v>
      </c>
    </row>
    <row r="23" spans="2:6" ht="24" customHeight="1" x14ac:dyDescent="0.2">
      <c r="B23" s="135" t="s">
        <v>42</v>
      </c>
      <c r="C23" s="137" t="s">
        <v>38</v>
      </c>
      <c r="D23" s="193" t="s">
        <v>30</v>
      </c>
      <c r="E23" s="194"/>
      <c r="F23" s="26"/>
    </row>
    <row r="24" spans="2:6" ht="30" customHeight="1" thickBot="1" x14ac:dyDescent="0.25">
      <c r="B24" s="136"/>
      <c r="C24" s="138"/>
      <c r="D24" s="62" t="s">
        <v>76</v>
      </c>
      <c r="E24" s="60" t="s">
        <v>77</v>
      </c>
      <c r="F24" s="63">
        <f>(18.08+2.78)*0.5*1*1000</f>
        <v>10430</v>
      </c>
    </row>
    <row r="25" spans="2:6" ht="26.25" customHeight="1" thickBot="1" x14ac:dyDescent="0.25">
      <c r="B25" s="24" t="s">
        <v>59</v>
      </c>
      <c r="C25" s="133" t="s">
        <v>65</v>
      </c>
      <c r="D25" s="134"/>
      <c r="E25" s="134"/>
      <c r="F25" s="25">
        <f>F27</f>
        <v>5010</v>
      </c>
    </row>
    <row r="26" spans="2:6" ht="24" customHeight="1" x14ac:dyDescent="0.2">
      <c r="B26" s="135" t="s">
        <v>60</v>
      </c>
      <c r="C26" s="137" t="s">
        <v>58</v>
      </c>
      <c r="D26" s="193" t="s">
        <v>30</v>
      </c>
      <c r="E26" s="194"/>
      <c r="F26" s="26"/>
    </row>
    <row r="27" spans="2:6" ht="30" customHeight="1" x14ac:dyDescent="0.2">
      <c r="B27" s="136"/>
      <c r="C27" s="138"/>
      <c r="D27" s="27" t="s">
        <v>61</v>
      </c>
      <c r="E27" s="67" t="s">
        <v>64</v>
      </c>
      <c r="F27" s="28">
        <f>(2.76+0.58)*1*1*1.5*1000</f>
        <v>5010</v>
      </c>
    </row>
    <row r="28" spans="2:6" ht="30" customHeight="1" x14ac:dyDescent="0.2">
      <c r="B28" s="54"/>
      <c r="C28" s="132" t="s">
        <v>45</v>
      </c>
      <c r="D28" s="132"/>
      <c r="E28" s="132"/>
      <c r="F28" s="65">
        <f>F10+F13+F16+F25</f>
        <v>242491.4</v>
      </c>
    </row>
    <row r="29" spans="2:6" ht="40.5" customHeight="1" x14ac:dyDescent="0.2">
      <c r="B29" s="54"/>
      <c r="C29" s="156" t="s">
        <v>82</v>
      </c>
      <c r="D29" s="156"/>
      <c r="E29" s="53">
        <v>4.59</v>
      </c>
      <c r="F29" s="66"/>
    </row>
    <row r="30" spans="2:6" ht="30" customHeight="1" x14ac:dyDescent="0.2">
      <c r="B30" s="54"/>
      <c r="C30" s="132" t="s">
        <v>79</v>
      </c>
      <c r="D30" s="132"/>
      <c r="E30" s="132"/>
      <c r="F30" s="65">
        <f>F28*E29</f>
        <v>1113035.5259999998</v>
      </c>
    </row>
    <row r="31" spans="2:6" ht="19.5" customHeight="1" x14ac:dyDescent="0.2">
      <c r="B31" s="35"/>
      <c r="C31" s="157" t="s">
        <v>24</v>
      </c>
      <c r="D31" s="157"/>
      <c r="E31" s="64"/>
      <c r="F31" s="51">
        <f>F30</f>
        <v>1113035.5259999998</v>
      </c>
    </row>
    <row r="32" spans="2:6" ht="15.75" x14ac:dyDescent="0.2">
      <c r="B32" s="32"/>
      <c r="C32" s="158" t="s">
        <v>17</v>
      </c>
      <c r="D32" s="159"/>
      <c r="E32" s="38"/>
      <c r="F32" s="51">
        <f>F31*0.2</f>
        <v>222607.10519999999</v>
      </c>
    </row>
    <row r="33" spans="2:7" ht="16.5" thickBot="1" x14ac:dyDescent="0.25">
      <c r="B33" s="33"/>
      <c r="C33" s="145" t="s">
        <v>16</v>
      </c>
      <c r="D33" s="146"/>
      <c r="E33" s="39"/>
      <c r="F33" s="52">
        <f>F31+F32</f>
        <v>1335642.6311999997</v>
      </c>
    </row>
    <row r="34" spans="2:7" x14ac:dyDescent="0.2">
      <c r="B34" s="13"/>
      <c r="C34" s="2"/>
      <c r="D34" s="7"/>
      <c r="E34" s="2"/>
      <c r="F34" s="10"/>
    </row>
    <row r="35" spans="2:7" ht="14.25" customHeight="1" x14ac:dyDescent="0.25">
      <c r="B35" s="1"/>
      <c r="D35" s="120"/>
      <c r="E35" s="120"/>
      <c r="F35" s="34"/>
    </row>
    <row r="36" spans="2:7" s="40" customFormat="1" ht="32.25" customHeight="1" x14ac:dyDescent="0.2">
      <c r="B36" s="40" t="s">
        <v>23</v>
      </c>
      <c r="C36" s="41"/>
      <c r="D36" s="42"/>
      <c r="E36" s="43"/>
      <c r="F36" s="44"/>
      <c r="G36" s="44"/>
    </row>
    <row r="37" spans="2:7" ht="13.5" customHeight="1" x14ac:dyDescent="0.25">
      <c r="B37" s="1"/>
      <c r="C37" s="17"/>
      <c r="D37" s="121"/>
      <c r="E37" s="121"/>
      <c r="F37" s="1"/>
    </row>
    <row r="38" spans="2:7" x14ac:dyDescent="0.2">
      <c r="D38" s="8"/>
    </row>
    <row r="39" spans="2:7" x14ac:dyDescent="0.2">
      <c r="D39" s="8"/>
    </row>
  </sheetData>
  <mergeCells count="34">
    <mergeCell ref="C13:E13"/>
    <mergeCell ref="B14:B15"/>
    <mergeCell ref="C14:C15"/>
    <mergeCell ref="D14:E14"/>
    <mergeCell ref="B19:B20"/>
    <mergeCell ref="C19:C20"/>
    <mergeCell ref="D19:E19"/>
    <mergeCell ref="B17:B18"/>
    <mergeCell ref="C17:C18"/>
    <mergeCell ref="D17:E17"/>
    <mergeCell ref="B21:B22"/>
    <mergeCell ref="C21:C22"/>
    <mergeCell ref="D21:E21"/>
    <mergeCell ref="C25:E25"/>
    <mergeCell ref="B26:B27"/>
    <mergeCell ref="C26:C27"/>
    <mergeCell ref="D26:E26"/>
    <mergeCell ref="B23:B24"/>
    <mergeCell ref="C23:C24"/>
    <mergeCell ref="D23:E23"/>
    <mergeCell ref="C33:D33"/>
    <mergeCell ref="D35:E35"/>
    <mergeCell ref="D37:E37"/>
    <mergeCell ref="C16:E16"/>
    <mergeCell ref="C29:D29"/>
    <mergeCell ref="C30:E30"/>
    <mergeCell ref="C28:E28"/>
    <mergeCell ref="C31:D31"/>
    <mergeCell ref="C32:D32"/>
    <mergeCell ref="B2:F4"/>
    <mergeCell ref="C10:E10"/>
    <mergeCell ref="B11:B12"/>
    <mergeCell ref="C11:C12"/>
    <mergeCell ref="D11:E11"/>
  </mergeCells>
  <pageMargins left="0.23622047244094491" right="0.23622047244094491" top="0.74803149606299213" bottom="0.74803149606299213" header="0.31496062992125984" footer="0.31496062992125984"/>
  <pageSetup paperSize="9" fitToHeight="1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Свод</vt:lpstr>
      <vt:lpstr>Предпроект </vt:lpstr>
      <vt:lpstr>Геодезия</vt:lpstr>
      <vt:lpstr>Геология</vt:lpstr>
      <vt:lpstr>Экология</vt:lpstr>
      <vt:lpstr>Проект</vt:lpstr>
      <vt:lpstr>Геодезия!Область_печати</vt:lpstr>
      <vt:lpstr>Геология!Область_печати</vt:lpstr>
      <vt:lpstr>'Предпроект '!Область_печати</vt:lpstr>
      <vt:lpstr>Проект!Область_печати</vt:lpstr>
      <vt:lpstr>Свод!Область_печати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Нивин Алексей Олегович</cp:lastModifiedBy>
  <cp:lastPrinted>2021-06-22T14:07:09Z</cp:lastPrinted>
  <dcterms:created xsi:type="dcterms:W3CDTF">2014-04-14T08:49:41Z</dcterms:created>
  <dcterms:modified xsi:type="dcterms:W3CDTF">2021-07-12T13:21:02Z</dcterms:modified>
</cp:coreProperties>
</file>